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anda\Aug 2026 RE Tax Settlement\Aug 26 FINAL Balance Package\"/>
    </mc:Choice>
  </mc:AlternateContent>
  <xr:revisionPtr revIDLastSave="0" documentId="13_ncr:1_{34080509-3469-4ABE-92D3-447FA82C2271}" xr6:coauthVersionLast="47" xr6:coauthVersionMax="47" xr10:uidLastSave="{00000000-0000-0000-0000-000000000000}"/>
  <bookViews>
    <workbookView xWindow="-120" yWindow="-120" windowWidth="29040" windowHeight="15720" firstSheet="10" activeTab="11" xr2:uid="{00000000-000D-0000-FFFF-FFFF00000000}"/>
  </bookViews>
  <sheets>
    <sheet name="10490-MADISON COUNTY" sheetId="1" r:id="rId1"/>
    <sheet name="104901-VETERANS RELIEF" sheetId="2" r:id="rId2"/>
    <sheet name="104902-MAD CO BD OF DEVELOPMENT" sheetId="3" r:id="rId3"/>
    <sheet name="104903-HEALTH SERVICES" sheetId="4" r:id="rId4"/>
    <sheet name="104904-MENTAL HEALTH &amp; RECOVERY" sheetId="5" r:id="rId5"/>
    <sheet name="104906-SENIOR CITIZENS" sheetId="6" r:id="rId6"/>
    <sheet name="104905-9-1-1" sheetId="7" r:id="rId7"/>
    <sheet name="30070-TOLLES CAREER &amp; TECHNICAL" sheetId="8" r:id="rId8"/>
    <sheet name="60440-MADISON CO. EMERGENCY MED" sheetId="9" r:id="rId9"/>
    <sheet name="61201-CENTRAL TWP JNT FIRE DIST" sheetId="10" r:id="rId10"/>
    <sheet name="23130-MADISON PLAINS LSD" sheetId="11" r:id="rId11"/>
    <sheet name="43900-OAK RUN TWP" sheetId="12" r:id="rId12"/>
    <sheet name="44259-PLEASANT TWP" sheetId="13" r:id="rId13"/>
    <sheet name="60680-STERLING JOINT AMBULANCE " sheetId="14" r:id="rId14"/>
    <sheet name="61123-PLEASANT DARBY UNION CEME" sheetId="15" r:id="rId15"/>
    <sheet name="61147-TRI-COUNTY JOINT FIRE DIS" sheetId="16" r:id="rId16"/>
    <sheet name="44410-RANGE TWP" sheetId="17" r:id="rId17"/>
    <sheet name="41734-FAIRFIELD TWP" sheetId="18" r:id="rId18"/>
    <sheet name="21700-FAIRBANKS LSD" sheetId="19" r:id="rId19"/>
    <sheet name="44215-PIKE TWP" sheetId="20" r:id="rId20"/>
  </sheets>
  <definedNames>
    <definedName name="_xlnm.Print_Titles" localSheetId="1">'104901-VETERANS RELIEF'!$2:$2</definedName>
    <definedName name="_xlnm.Print_Titles" localSheetId="2">'104902-MAD CO BD OF DEVELOPMENT'!$2:$2</definedName>
    <definedName name="_xlnm.Print_Titles" localSheetId="3">'104903-HEALTH SERVICES'!$2:$2</definedName>
    <definedName name="_xlnm.Print_Titles" localSheetId="4">'104904-MENTAL HEALTH &amp; RECOVERY'!$2:$2</definedName>
    <definedName name="_xlnm.Print_Titles" localSheetId="6">'104905-9-1-1'!$2:$2</definedName>
    <definedName name="_xlnm.Print_Titles" localSheetId="5">'104906-SENIOR CITIZENS'!$2:$2</definedName>
    <definedName name="_xlnm.Print_Titles" localSheetId="0">'10490-MADISON COUNTY'!$2:$2</definedName>
    <definedName name="_xlnm.Print_Titles" localSheetId="18">'21700-FAIRBANKS LSD'!$2:$2</definedName>
    <definedName name="_xlnm.Print_Titles" localSheetId="10">'23130-MADISON PLAINS LSD'!$2:$2</definedName>
    <definedName name="_xlnm.Print_Titles" localSheetId="7">'30070-TOLLES CAREER &amp; TECHNICAL'!$2:$2</definedName>
    <definedName name="_xlnm.Print_Titles" localSheetId="17">'41734-FAIRFIELD TWP'!$2:$2</definedName>
    <definedName name="_xlnm.Print_Titles" localSheetId="11">'43900-OAK RUN TWP'!$2:$2</definedName>
    <definedName name="_xlnm.Print_Titles" localSheetId="19">'44215-PIKE TWP'!$2:$2</definedName>
    <definedName name="_xlnm.Print_Titles" localSheetId="12">'44259-PLEASANT TWP'!$2:$2</definedName>
    <definedName name="_xlnm.Print_Titles" localSheetId="16">'44410-RANGE TWP'!$2:$2</definedName>
    <definedName name="_xlnm.Print_Titles" localSheetId="8">'60440-MADISON CO. EMERGENCY MED'!$2:$2</definedName>
    <definedName name="_xlnm.Print_Titles" localSheetId="13">'60680-STERLING JOINT AMBULANCE '!$2:$2</definedName>
    <definedName name="_xlnm.Print_Titles" localSheetId="14">'61123-PLEASANT DARBY UNION CEME'!$2:$2</definedName>
    <definedName name="_xlnm.Print_Titles" localSheetId="15">'61147-TRI-COUNTY JOINT FIRE DIS'!$2:$2</definedName>
    <definedName name="_xlnm.Print_Titles" localSheetId="9">'61201-CENTRAL TWP JNT FIRE DIST'!$2:$2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20" l="1"/>
  <c r="J6" i="20"/>
  <c r="I6" i="20"/>
  <c r="H6" i="20"/>
  <c r="G6" i="20"/>
  <c r="F6" i="20"/>
  <c r="E6" i="20"/>
  <c r="K8" i="19"/>
  <c r="J8" i="19"/>
  <c r="I8" i="19"/>
  <c r="H8" i="19"/>
  <c r="G8" i="19"/>
  <c r="F8" i="19"/>
  <c r="E8" i="19"/>
  <c r="K7" i="18"/>
  <c r="J7" i="18"/>
  <c r="I7" i="18"/>
  <c r="H7" i="18"/>
  <c r="G7" i="18"/>
  <c r="F7" i="18"/>
  <c r="E7" i="18"/>
  <c r="K12" i="17"/>
  <c r="J12" i="17"/>
  <c r="I12" i="17"/>
  <c r="H12" i="17"/>
  <c r="G12" i="17"/>
  <c r="F12" i="17"/>
  <c r="E12" i="17"/>
  <c r="K5" i="16"/>
  <c r="J5" i="16"/>
  <c r="I5" i="16"/>
  <c r="H5" i="16"/>
  <c r="G5" i="16"/>
  <c r="F5" i="16"/>
  <c r="E5" i="16"/>
  <c r="K4" i="15"/>
  <c r="J4" i="15"/>
  <c r="I4" i="15"/>
  <c r="H4" i="15"/>
  <c r="G4" i="15"/>
  <c r="F4" i="15"/>
  <c r="E4" i="15"/>
  <c r="K7" i="14"/>
  <c r="J7" i="14"/>
  <c r="I7" i="14"/>
  <c r="H7" i="14"/>
  <c r="G7" i="14"/>
  <c r="F7" i="14"/>
  <c r="E7" i="14"/>
  <c r="K7" i="13"/>
  <c r="J7" i="13"/>
  <c r="I7" i="13"/>
  <c r="H7" i="13"/>
  <c r="G7" i="13"/>
  <c r="F7" i="13"/>
  <c r="E7" i="13"/>
  <c r="K5" i="12"/>
  <c r="J5" i="12"/>
  <c r="I5" i="12"/>
  <c r="H5" i="12"/>
  <c r="G5" i="12"/>
  <c r="F5" i="12"/>
  <c r="E5" i="12"/>
  <c r="K17" i="11"/>
  <c r="J17" i="11"/>
  <c r="I17" i="11"/>
  <c r="H17" i="11"/>
  <c r="G17" i="11"/>
  <c r="F17" i="11"/>
  <c r="E17" i="11"/>
  <c r="K5" i="10"/>
  <c r="J5" i="10"/>
  <c r="I5" i="10"/>
  <c r="H5" i="10"/>
  <c r="G5" i="10"/>
  <c r="F5" i="10"/>
  <c r="E5" i="10"/>
  <c r="K7" i="9"/>
  <c r="J7" i="9"/>
  <c r="I7" i="9"/>
  <c r="H7" i="9"/>
  <c r="G7" i="9"/>
  <c r="F7" i="9"/>
  <c r="E7" i="9"/>
  <c r="K6" i="8"/>
  <c r="J6" i="8"/>
  <c r="I6" i="8"/>
  <c r="H6" i="8"/>
  <c r="G6" i="8"/>
  <c r="F6" i="8"/>
  <c r="E6" i="8"/>
  <c r="K6" i="7"/>
  <c r="J6" i="7"/>
  <c r="I6" i="7"/>
  <c r="H6" i="7"/>
  <c r="G6" i="7"/>
  <c r="F6" i="7"/>
  <c r="E6" i="7"/>
  <c r="K6" i="6"/>
  <c r="J6" i="6"/>
  <c r="I6" i="6"/>
  <c r="H6" i="6"/>
  <c r="G6" i="6"/>
  <c r="F6" i="6"/>
  <c r="E6" i="6"/>
  <c r="K6" i="5"/>
  <c r="J6" i="5"/>
  <c r="I6" i="5"/>
  <c r="H6" i="5"/>
  <c r="G6" i="5"/>
  <c r="F6" i="5"/>
  <c r="E6" i="5"/>
  <c r="K9" i="4"/>
  <c r="J9" i="4"/>
  <c r="I9" i="4"/>
  <c r="H9" i="4"/>
  <c r="G9" i="4"/>
  <c r="F9" i="4"/>
  <c r="E9" i="4"/>
  <c r="K18" i="3"/>
  <c r="J18" i="3"/>
  <c r="I18" i="3"/>
  <c r="H18" i="3"/>
  <c r="G18" i="3"/>
  <c r="F18" i="3"/>
  <c r="E18" i="3"/>
  <c r="K6" i="2"/>
  <c r="J6" i="2"/>
  <c r="I6" i="2"/>
  <c r="H6" i="2"/>
  <c r="G6" i="2"/>
  <c r="F6" i="2"/>
  <c r="E6" i="2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<sst xmlns="http://schemas.openxmlformats.org/spreadsheetml/2006/main" count="600" uniqueCount="65">
  <si>
    <t>Project/Levy</t>
  </si>
  <si>
    <t>Charges</t>
  </si>
  <si>
    <t>Distributions</t>
  </si>
  <si>
    <t>Project</t>
  </si>
  <si>
    <t>Levy Year</t>
  </si>
  <si>
    <t>Levy Name</t>
  </si>
  <si>
    <t>Whole Rate</t>
  </si>
  <si>
    <t>Interest</t>
  </si>
  <si>
    <t>Delinquent</t>
  </si>
  <si>
    <t>First Half</t>
  </si>
  <si>
    <t>Second Half</t>
  </si>
  <si>
    <t>Penalty</t>
  </si>
  <si>
    <t>Paid First</t>
  </si>
  <si>
    <t>Paid Second</t>
  </si>
  <si>
    <t>BIG PLAIN SOLAR LLC</t>
  </si>
  <si>
    <t/>
  </si>
  <si>
    <t>GENERAL FUND</t>
  </si>
  <si>
    <t>FOX SQUIRREL SOLAR</t>
  </si>
  <si>
    <t>MADISON FIELDS SOLAR PROJECT</t>
  </si>
  <si>
    <t>Totals:</t>
  </si>
  <si>
    <t>VETERANS RELIEF</t>
  </si>
  <si>
    <t>1976</t>
  </si>
  <si>
    <t>MRDD</t>
  </si>
  <si>
    <t>1982</t>
  </si>
  <si>
    <t>2005</t>
  </si>
  <si>
    <t>DEVELOPMENTAL DISABILITIES</t>
  </si>
  <si>
    <t>2008</t>
  </si>
  <si>
    <t>2001</t>
  </si>
  <si>
    <t>HEALTH SERVICES</t>
  </si>
  <si>
    <t>2020</t>
  </si>
  <si>
    <t>2004</t>
  </si>
  <si>
    <t>MENTAL HEALTH &amp; RECOVERY SVCS</t>
  </si>
  <si>
    <t>2006</t>
  </si>
  <si>
    <t>SENIOR CITIZENS</t>
  </si>
  <si>
    <t>2018</t>
  </si>
  <si>
    <t>9-1-1 SYSTEM</t>
  </si>
  <si>
    <t>CURRENT EXPENSE</t>
  </si>
  <si>
    <t>2017</t>
  </si>
  <si>
    <t>2022</t>
  </si>
  <si>
    <t>FIRE</t>
  </si>
  <si>
    <t>1994</t>
  </si>
  <si>
    <t>1995</t>
  </si>
  <si>
    <t>1998</t>
  </si>
  <si>
    <t>PERMANENT IMPROVEMENT</t>
  </si>
  <si>
    <t>2003</t>
  </si>
  <si>
    <t>ROAD AND BRIDGE</t>
  </si>
  <si>
    <t>CURRENT EXPENSE LIBRARY</t>
  </si>
  <si>
    <t>2012</t>
  </si>
  <si>
    <t>2024</t>
  </si>
  <si>
    <t>2015</t>
  </si>
  <si>
    <t>CEMETERY</t>
  </si>
  <si>
    <t>2023</t>
  </si>
  <si>
    <t>1992</t>
  </si>
  <si>
    <t>1999</t>
  </si>
  <si>
    <t>BOND ($435,000)</t>
  </si>
  <si>
    <t>2014</t>
  </si>
  <si>
    <t>2016</t>
  </si>
  <si>
    <t>2019</t>
  </si>
  <si>
    <t>FIRE &amp; E.M.S.</t>
  </si>
  <si>
    <t>FIRE &amp; E.M.S</t>
  </si>
  <si>
    <t>2025</t>
  </si>
  <si>
    <t>1985</t>
  </si>
  <si>
    <t>BOND ($11,460,066)</t>
  </si>
  <si>
    <t>2009</t>
  </si>
  <si>
    <t>SUBSTITUTE RC 5705.199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</si>
</sst>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/>
      <right style="thin">
        <color rgb="FF8EA9DB"/>
      </right>
      <top/>
      <bottom/>
      <diagonal/>
    </border>
  </borders>
  <cellStyleXfs count="2">
    <xf numFmtId="0" fontId="0" fillId="0" borderId="0"/>
    <xf numFmtId="0" fontId="1" fillId="2" borderId="1">
      <alignment horizontal="center"/>
    </xf>
  </cellStyleXfs>
  <cellXfs count="3">
    <xf numFmtId="0" fontId="0" fillId="0" borderId="0" xfId="0"/>
    <xf numFmtId="4" fontId="0" fillId="0" borderId="0" xfId="0" applyNumberFormat="1"/>
    <xf numFmtId="0" fontId="1" fillId="2" borderId="1" xfId="1">
      <alignment horizontal="center"/>
    </xf>
  </cellXfs>
  <cellStyles count="2">
    <cellStyle name="Header Category Style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lsubTable0" displayName="PolsubTable0" ref="A2:K6" totalsRowCount="1">
  <autoFilter ref="A2:K5" xr:uid="{00000000-0009-0000-0100-000001000000}"/>
  <tableColumns count="11">
    <tableColumn id="1" xr3:uid="{00000000-0010-0000-0000-000001000000}" name="Project"/>
    <tableColumn id="2" xr3:uid="{00000000-0010-0000-0000-000002000000}" name="Levy Year"/>
    <tableColumn id="3" xr3:uid="{00000000-0010-0000-0000-000003000000}" name="Levy Name"/>
    <tableColumn id="4" xr3:uid="{00000000-0010-0000-0000-000004000000}" name="Whole Rate" totalsRowLabel="Totals:"/>
    <tableColumn id="5" xr3:uid="{00000000-0010-0000-0000-000005000000}" name="Interest" totalsRowFunction="sum"/>
    <tableColumn id="6" xr3:uid="{00000000-0010-0000-0000-000006000000}" name="Delinquent" totalsRowFunction="sum"/>
    <tableColumn id="7" xr3:uid="{00000000-0010-0000-0000-000007000000}" name="First Half" totalsRowFunction="sum"/>
    <tableColumn id="8" xr3:uid="{00000000-0010-0000-0000-000008000000}" name="Second Half" totalsRowFunction="sum"/>
    <tableColumn id="9" xr3:uid="{00000000-0010-0000-0000-000009000000}" name="Penalty" totalsRowFunction="sum"/>
    <tableColumn id="10" xr3:uid="{00000000-0010-0000-0000-00000A000000}" name="Paid First" totalsRowFunction="sum"/>
    <tableColumn id="11" xr3:uid="{00000000-0010-0000-0000-00000B000000}" name="Paid Second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olsubTable1" displayName="PolsubTable1" ref="A2:K6" totalsRowCount="1">
  <autoFilter ref="A2:K5" xr:uid="{00000000-0009-0000-0100-000002000000}"/>
  <tableColumns count="11">
    <tableColumn id="1" xr3:uid="{00000000-0010-0000-0100-000001000000}" name="Project"/>
    <tableColumn id="2" xr3:uid="{00000000-0010-0000-0100-000002000000}" name="Levy Year"/>
    <tableColumn id="3" xr3:uid="{00000000-0010-0000-0100-000003000000}" name="Levy Name"/>
    <tableColumn id="4" xr3:uid="{00000000-0010-0000-0100-000004000000}" name="Whole Rate" totalsRowLabel="Totals:"/>
    <tableColumn id="5" xr3:uid="{00000000-0010-0000-0100-000005000000}" name="Interest" totalsRowFunction="sum"/>
    <tableColumn id="6" xr3:uid="{00000000-0010-0000-0100-000006000000}" name="Delinquent" totalsRowFunction="sum"/>
    <tableColumn id="7" xr3:uid="{00000000-0010-0000-0100-000007000000}" name="First Half" totalsRowFunction="sum"/>
    <tableColumn id="8" xr3:uid="{00000000-0010-0000-0100-000008000000}" name="Second Half" totalsRowFunction="sum"/>
    <tableColumn id="9" xr3:uid="{00000000-0010-0000-0100-000009000000}" name="Penalty" totalsRowFunction="sum"/>
    <tableColumn id="10" xr3:uid="{00000000-0010-0000-0100-00000A000000}" name="Paid First" totalsRowFunction="sum"/>
    <tableColumn id="11" xr3:uid="{00000000-0010-0000-0100-00000B000000}" name="Paid Second" totalsRowFunction="sum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olsubTable2" displayName="PolsubTable2" ref="A2:K18" totalsRowCount="1">
  <autoFilter ref="A2:K17" xr:uid="{00000000-0009-0000-0100-000003000000}"/>
  <tableColumns count="11">
    <tableColumn id="1" xr3:uid="{00000000-0010-0000-0200-000001000000}" name="Project"/>
    <tableColumn id="2" xr3:uid="{00000000-0010-0000-0200-000002000000}" name="Levy Year"/>
    <tableColumn id="3" xr3:uid="{00000000-0010-0000-0200-000003000000}" name="Levy Name"/>
    <tableColumn id="4" xr3:uid="{00000000-0010-0000-0200-000004000000}" name="Whole Rate" totalsRowLabel="Totals:"/>
    <tableColumn id="5" xr3:uid="{00000000-0010-0000-0200-000005000000}" name="Interest" totalsRowFunction="sum"/>
    <tableColumn id="6" xr3:uid="{00000000-0010-0000-0200-000006000000}" name="Delinquent" totalsRowFunction="sum"/>
    <tableColumn id="7" xr3:uid="{00000000-0010-0000-0200-000007000000}" name="First Half" totalsRowFunction="sum"/>
    <tableColumn id="8" xr3:uid="{00000000-0010-0000-0200-000008000000}" name="Second Half" totalsRowFunction="sum"/>
    <tableColumn id="9" xr3:uid="{00000000-0010-0000-0200-000009000000}" name="Penalty" totalsRowFunction="sum"/>
    <tableColumn id="10" xr3:uid="{00000000-0010-0000-0200-00000A000000}" name="Paid First" totalsRowFunction="sum"/>
    <tableColumn id="11" xr3:uid="{00000000-0010-0000-0200-00000B000000}" name="Paid Second" totalsRowFunction="su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olsubTable3" displayName="PolsubTable3" ref="A2:K9" totalsRowCount="1">
  <autoFilter ref="A2:K8" xr:uid="{00000000-0009-0000-0100-000004000000}"/>
  <tableColumns count="11">
    <tableColumn id="1" xr3:uid="{00000000-0010-0000-0300-000001000000}" name="Project"/>
    <tableColumn id="2" xr3:uid="{00000000-0010-0000-0300-000002000000}" name="Levy Year"/>
    <tableColumn id="3" xr3:uid="{00000000-0010-0000-0300-000003000000}" name="Levy Name"/>
    <tableColumn id="4" xr3:uid="{00000000-0010-0000-0300-000004000000}" name="Whole Rate" totalsRowLabel="Totals:"/>
    <tableColumn id="5" xr3:uid="{00000000-0010-0000-0300-000005000000}" name="Interest" totalsRowFunction="sum"/>
    <tableColumn id="6" xr3:uid="{00000000-0010-0000-0300-000006000000}" name="Delinquent" totalsRowFunction="sum"/>
    <tableColumn id="7" xr3:uid="{00000000-0010-0000-0300-000007000000}" name="First Half" totalsRowFunction="sum"/>
    <tableColumn id="8" xr3:uid="{00000000-0010-0000-0300-000008000000}" name="Second Half" totalsRowFunction="sum"/>
    <tableColumn id="9" xr3:uid="{00000000-0010-0000-0300-000009000000}" name="Penalty" totalsRowFunction="sum"/>
    <tableColumn id="10" xr3:uid="{00000000-0010-0000-0300-00000A000000}" name="Paid First" totalsRowFunction="sum"/>
    <tableColumn id="11" xr3:uid="{00000000-0010-0000-0300-00000B000000}" name="Paid Second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lsubTable4" displayName="PolsubTable4" ref="A2:K6" totalsRowCount="1">
  <autoFilter ref="A2:K5" xr:uid="{00000000-0009-0000-0100-000005000000}"/>
  <tableColumns count="11">
    <tableColumn id="1" xr3:uid="{00000000-0010-0000-0400-000001000000}" name="Project"/>
    <tableColumn id="2" xr3:uid="{00000000-0010-0000-0400-000002000000}" name="Levy Year"/>
    <tableColumn id="3" xr3:uid="{00000000-0010-0000-0400-000003000000}" name="Levy Name"/>
    <tableColumn id="4" xr3:uid="{00000000-0010-0000-0400-000004000000}" name="Whole Rate" totalsRowLabel="Totals:"/>
    <tableColumn id="5" xr3:uid="{00000000-0010-0000-0400-000005000000}" name="Interest" totalsRowFunction="sum"/>
    <tableColumn id="6" xr3:uid="{00000000-0010-0000-0400-000006000000}" name="Delinquent" totalsRowFunction="sum"/>
    <tableColumn id="7" xr3:uid="{00000000-0010-0000-0400-000007000000}" name="First Half" totalsRowFunction="sum"/>
    <tableColumn id="8" xr3:uid="{00000000-0010-0000-0400-000008000000}" name="Second Half" totalsRowFunction="sum"/>
    <tableColumn id="9" xr3:uid="{00000000-0010-0000-0400-000009000000}" name="Penalty" totalsRowFunction="sum"/>
    <tableColumn id="10" xr3:uid="{00000000-0010-0000-0400-00000A000000}" name="Paid First" totalsRowFunction="sum"/>
    <tableColumn id="11" xr3:uid="{00000000-0010-0000-0400-00000B000000}" name="Paid Second" totalsRowFunction="sum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olsubTable5" displayName="PolsubTable5" ref="A2:K6" totalsRowCount="1">
  <autoFilter ref="A2:K5" xr:uid="{00000000-0009-0000-0100-000006000000}"/>
  <tableColumns count="11">
    <tableColumn id="1" xr3:uid="{00000000-0010-0000-0500-000001000000}" name="Project"/>
    <tableColumn id="2" xr3:uid="{00000000-0010-0000-0500-000002000000}" name="Levy Year"/>
    <tableColumn id="3" xr3:uid="{00000000-0010-0000-0500-000003000000}" name="Levy Name"/>
    <tableColumn id="4" xr3:uid="{00000000-0010-0000-0500-000004000000}" name="Whole Rate" totalsRowLabel="Totals:"/>
    <tableColumn id="5" xr3:uid="{00000000-0010-0000-0500-000005000000}" name="Interest" totalsRowFunction="sum"/>
    <tableColumn id="6" xr3:uid="{00000000-0010-0000-0500-000006000000}" name="Delinquent" totalsRowFunction="sum"/>
    <tableColumn id="7" xr3:uid="{00000000-0010-0000-0500-000007000000}" name="First Half" totalsRowFunction="sum"/>
    <tableColumn id="8" xr3:uid="{00000000-0010-0000-0500-000008000000}" name="Second Half" totalsRowFunction="sum"/>
    <tableColumn id="9" xr3:uid="{00000000-0010-0000-0500-000009000000}" name="Penalty" totalsRowFunction="sum"/>
    <tableColumn id="10" xr3:uid="{00000000-0010-0000-0500-00000A000000}" name="Paid First" totalsRowFunction="sum"/>
    <tableColumn id="11" xr3:uid="{00000000-0010-0000-0500-00000B000000}" name="Paid Second" totalsRowFunction="su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PolsubTable6" displayName="PolsubTable6" ref="A2:K6" totalsRowCount="1">
  <autoFilter ref="A2:K5" xr:uid="{00000000-0009-0000-0100-000007000000}"/>
  <tableColumns count="11">
    <tableColumn id="1" xr3:uid="{00000000-0010-0000-0600-000001000000}" name="Project"/>
    <tableColumn id="2" xr3:uid="{00000000-0010-0000-0600-000002000000}" name="Levy Year"/>
    <tableColumn id="3" xr3:uid="{00000000-0010-0000-0600-000003000000}" name="Levy Name"/>
    <tableColumn id="4" xr3:uid="{00000000-0010-0000-0600-000004000000}" name="Whole Rate" totalsRowLabel="Totals:"/>
    <tableColumn id="5" xr3:uid="{00000000-0010-0000-0600-000005000000}" name="Interest" totalsRowFunction="sum"/>
    <tableColumn id="6" xr3:uid="{00000000-0010-0000-0600-000006000000}" name="Delinquent" totalsRowFunction="sum"/>
    <tableColumn id="7" xr3:uid="{00000000-0010-0000-0600-000007000000}" name="First Half" totalsRowFunction="sum"/>
    <tableColumn id="8" xr3:uid="{00000000-0010-0000-0600-000008000000}" name="Second Half" totalsRowFunction="sum"/>
    <tableColumn id="9" xr3:uid="{00000000-0010-0000-0600-000009000000}" name="Penalty" totalsRowFunction="sum"/>
    <tableColumn id="10" xr3:uid="{00000000-0010-0000-0600-00000A000000}" name="Paid First" totalsRowFunction="sum"/>
    <tableColumn id="11" xr3:uid="{00000000-0010-0000-0600-00000B000000}" name="Paid Second" totalsRowFunction="sum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PolsubTable7" displayName="PolsubTable7" ref="A2:K6" totalsRowCount="1">
  <autoFilter ref="A2:K5" xr:uid="{00000000-0009-0000-0100-000008000000}"/>
  <tableColumns count="11">
    <tableColumn id="1" xr3:uid="{00000000-0010-0000-0700-000001000000}" name="Project"/>
    <tableColumn id="2" xr3:uid="{00000000-0010-0000-0700-000002000000}" name="Levy Year"/>
    <tableColumn id="3" xr3:uid="{00000000-0010-0000-0700-000003000000}" name="Levy Name"/>
    <tableColumn id="4" xr3:uid="{00000000-0010-0000-0700-000004000000}" name="Whole Rate" totalsRowLabel="Totals:"/>
    <tableColumn id="5" xr3:uid="{00000000-0010-0000-0700-000005000000}" name="Interest" totalsRowFunction="sum"/>
    <tableColumn id="6" xr3:uid="{00000000-0010-0000-0700-000006000000}" name="Delinquent" totalsRowFunction="sum"/>
    <tableColumn id="7" xr3:uid="{00000000-0010-0000-0700-000007000000}" name="First Half" totalsRowFunction="sum"/>
    <tableColumn id="8" xr3:uid="{00000000-0010-0000-0700-000008000000}" name="Second Half" totalsRowFunction="sum"/>
    <tableColumn id="9" xr3:uid="{00000000-0010-0000-0700-000009000000}" name="Penalty" totalsRowFunction="sum"/>
    <tableColumn id="10" xr3:uid="{00000000-0010-0000-0700-00000A000000}" name="Paid First" totalsRowFunction="sum"/>
    <tableColumn id="11" xr3:uid="{00000000-0010-0000-0700-00000B000000}" name="Paid Second" totalsRowFunction="sum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PolsubTable8" displayName="PolsubTable8" ref="A2:K7" totalsRowCount="1">
  <autoFilter ref="A2:K6" xr:uid="{00000000-0009-0000-0100-000009000000}"/>
  <tableColumns count="11">
    <tableColumn id="1" xr3:uid="{00000000-0010-0000-0800-000001000000}" name="Project"/>
    <tableColumn id="2" xr3:uid="{00000000-0010-0000-0800-000002000000}" name="Levy Year"/>
    <tableColumn id="3" xr3:uid="{00000000-0010-0000-0800-000003000000}" name="Levy Name"/>
    <tableColumn id="4" xr3:uid="{00000000-0010-0000-0800-000004000000}" name="Whole Rate" totalsRowLabel="Totals:"/>
    <tableColumn id="5" xr3:uid="{00000000-0010-0000-0800-000005000000}" name="Interest" totalsRowFunction="sum"/>
    <tableColumn id="6" xr3:uid="{00000000-0010-0000-0800-000006000000}" name="Delinquent" totalsRowFunction="sum"/>
    <tableColumn id="7" xr3:uid="{00000000-0010-0000-0800-000007000000}" name="First Half" totalsRowFunction="sum"/>
    <tableColumn id="8" xr3:uid="{00000000-0010-0000-0800-000008000000}" name="Second Half" totalsRowFunction="sum"/>
    <tableColumn id="9" xr3:uid="{00000000-0010-0000-0800-000009000000}" name="Penalty" totalsRowFunction="sum"/>
    <tableColumn id="10" xr3:uid="{00000000-0010-0000-0800-00000A000000}" name="Paid First" totalsRowFunction="sum"/>
    <tableColumn id="11" xr3:uid="{00000000-0010-0000-0800-00000B000000}" name="Paid Second" totalsRowFunction="sum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PolsubTable9" displayName="PolsubTable9" ref="A2:K5" totalsRowCount="1">
  <autoFilter ref="A2:K4" xr:uid="{00000000-0009-0000-0100-00000A000000}"/>
  <tableColumns count="11">
    <tableColumn id="1" xr3:uid="{00000000-0010-0000-0900-000001000000}" name="Project"/>
    <tableColumn id="2" xr3:uid="{00000000-0010-0000-0900-000002000000}" name="Levy Year"/>
    <tableColumn id="3" xr3:uid="{00000000-0010-0000-0900-000003000000}" name="Levy Name"/>
    <tableColumn id="4" xr3:uid="{00000000-0010-0000-0900-000004000000}" name="Whole Rate" totalsRowLabel="Totals:"/>
    <tableColumn id="5" xr3:uid="{00000000-0010-0000-0900-000005000000}" name="Interest" totalsRowFunction="sum"/>
    <tableColumn id="6" xr3:uid="{00000000-0010-0000-0900-000006000000}" name="Delinquent" totalsRowFunction="sum"/>
    <tableColumn id="7" xr3:uid="{00000000-0010-0000-0900-000007000000}" name="First Half" totalsRowFunction="sum"/>
    <tableColumn id="8" xr3:uid="{00000000-0010-0000-0900-000008000000}" name="Second Half" totalsRowFunction="sum"/>
    <tableColumn id="9" xr3:uid="{00000000-0010-0000-0900-000009000000}" name="Penalty" totalsRowFunction="sum"/>
    <tableColumn id="10" xr3:uid="{00000000-0010-0000-0900-00000A000000}" name="Paid First" totalsRowFunction="sum"/>
    <tableColumn id="11" xr3:uid="{00000000-0010-0000-0900-00000B000000}" name="Paid Second" totalsRowFunction="sum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PolsubTable10" displayName="PolsubTable10" ref="A2:K17" totalsRowCount="1">
  <autoFilter ref="A2:K16" xr:uid="{00000000-0009-0000-0100-00000B000000}"/>
  <tableColumns count="11">
    <tableColumn id="1" xr3:uid="{00000000-0010-0000-0A00-000001000000}" name="Project"/>
    <tableColumn id="2" xr3:uid="{00000000-0010-0000-0A00-000002000000}" name="Levy Year"/>
    <tableColumn id="3" xr3:uid="{00000000-0010-0000-0A00-000003000000}" name="Levy Name"/>
    <tableColumn id="4" xr3:uid="{00000000-0010-0000-0A00-000004000000}" name="Whole Rate" totalsRowLabel="Totals:"/>
    <tableColumn id="5" xr3:uid="{00000000-0010-0000-0A00-000005000000}" name="Interest" totalsRowFunction="sum"/>
    <tableColumn id="6" xr3:uid="{00000000-0010-0000-0A00-000006000000}" name="Delinquent" totalsRowFunction="sum"/>
    <tableColumn id="7" xr3:uid="{00000000-0010-0000-0A00-000007000000}" name="First Half" totalsRowFunction="sum"/>
    <tableColumn id="8" xr3:uid="{00000000-0010-0000-0A00-000008000000}" name="Second Half" totalsRowFunction="sum"/>
    <tableColumn id="9" xr3:uid="{00000000-0010-0000-0A00-000009000000}" name="Penalty" totalsRowFunction="sum"/>
    <tableColumn id="10" xr3:uid="{00000000-0010-0000-0A00-00000A000000}" name="Paid First" totalsRowFunction="sum"/>
    <tableColumn id="11" xr3:uid="{00000000-0010-0000-0A00-00000B000000}" name="Paid Second" totalsRowFunction="sum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PolsubTable11" displayName="PolsubTable11" ref="A2:K5" totalsRowCount="1">
  <autoFilter ref="A2:K4" xr:uid="{00000000-0009-0000-0100-00000C000000}"/>
  <tableColumns count="11">
    <tableColumn id="1" xr3:uid="{00000000-0010-0000-0B00-000001000000}" name="Project"/>
    <tableColumn id="2" xr3:uid="{00000000-0010-0000-0B00-000002000000}" name="Levy Year"/>
    <tableColumn id="3" xr3:uid="{00000000-0010-0000-0B00-000003000000}" name="Levy Name"/>
    <tableColumn id="4" xr3:uid="{00000000-0010-0000-0B00-000004000000}" name="Whole Rate" totalsRowLabel="Totals:"/>
    <tableColumn id="5" xr3:uid="{00000000-0010-0000-0B00-000005000000}" name="Interest" totalsRowFunction="sum"/>
    <tableColumn id="6" xr3:uid="{00000000-0010-0000-0B00-000006000000}" name="Delinquent" totalsRowFunction="sum"/>
    <tableColumn id="7" xr3:uid="{00000000-0010-0000-0B00-000007000000}" name="First Half" totalsRowFunction="sum"/>
    <tableColumn id="8" xr3:uid="{00000000-0010-0000-0B00-000008000000}" name="Second Half" totalsRowFunction="sum"/>
    <tableColumn id="9" xr3:uid="{00000000-0010-0000-0B00-000009000000}" name="Penalty" totalsRowFunction="sum"/>
    <tableColumn id="10" xr3:uid="{00000000-0010-0000-0B00-00000A000000}" name="Paid First" totalsRowFunction="sum"/>
    <tableColumn id="11" xr3:uid="{00000000-0010-0000-0B00-00000B000000}" name="Paid Second" totalsRowFunction="sum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PolsubTable12" displayName="PolsubTable12" ref="A2:K7" totalsRowCount="1">
  <autoFilter ref="A2:K6" xr:uid="{00000000-0009-0000-0100-00000D000000}"/>
  <tableColumns count="11">
    <tableColumn id="1" xr3:uid="{00000000-0010-0000-0C00-000001000000}" name="Project"/>
    <tableColumn id="2" xr3:uid="{00000000-0010-0000-0C00-000002000000}" name="Levy Year"/>
    <tableColumn id="3" xr3:uid="{00000000-0010-0000-0C00-000003000000}" name="Levy Name"/>
    <tableColumn id="4" xr3:uid="{00000000-0010-0000-0C00-000004000000}" name="Whole Rate" totalsRowLabel="Totals:"/>
    <tableColumn id="5" xr3:uid="{00000000-0010-0000-0C00-000005000000}" name="Interest" totalsRowFunction="sum"/>
    <tableColumn id="6" xr3:uid="{00000000-0010-0000-0C00-000006000000}" name="Delinquent" totalsRowFunction="sum"/>
    <tableColumn id="7" xr3:uid="{00000000-0010-0000-0C00-000007000000}" name="First Half" totalsRowFunction="sum"/>
    <tableColumn id="8" xr3:uid="{00000000-0010-0000-0C00-000008000000}" name="Second Half" totalsRowFunction="sum"/>
    <tableColumn id="9" xr3:uid="{00000000-0010-0000-0C00-000009000000}" name="Penalty" totalsRowFunction="sum"/>
    <tableColumn id="10" xr3:uid="{00000000-0010-0000-0C00-00000A000000}" name="Paid First" totalsRowFunction="sum"/>
    <tableColumn id="11" xr3:uid="{00000000-0010-0000-0C00-00000B000000}" name="Paid Second" totalsRowFunction="sum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PolsubTable13" displayName="PolsubTable13" ref="A2:K7" totalsRowCount="1">
  <autoFilter ref="A2:K6" xr:uid="{00000000-0009-0000-0100-00000E000000}"/>
  <tableColumns count="11">
    <tableColumn id="1" xr3:uid="{00000000-0010-0000-0D00-000001000000}" name="Project"/>
    <tableColumn id="2" xr3:uid="{00000000-0010-0000-0D00-000002000000}" name="Levy Year"/>
    <tableColumn id="3" xr3:uid="{00000000-0010-0000-0D00-000003000000}" name="Levy Name"/>
    <tableColumn id="4" xr3:uid="{00000000-0010-0000-0D00-000004000000}" name="Whole Rate" totalsRowLabel="Totals:"/>
    <tableColumn id="5" xr3:uid="{00000000-0010-0000-0D00-000005000000}" name="Interest" totalsRowFunction="sum"/>
    <tableColumn id="6" xr3:uid="{00000000-0010-0000-0D00-000006000000}" name="Delinquent" totalsRowFunction="sum"/>
    <tableColumn id="7" xr3:uid="{00000000-0010-0000-0D00-000007000000}" name="First Half" totalsRowFunction="sum"/>
    <tableColumn id="8" xr3:uid="{00000000-0010-0000-0D00-000008000000}" name="Second Half" totalsRowFunction="sum"/>
    <tableColumn id="9" xr3:uid="{00000000-0010-0000-0D00-000009000000}" name="Penalty" totalsRowFunction="sum"/>
    <tableColumn id="10" xr3:uid="{00000000-0010-0000-0D00-00000A000000}" name="Paid First" totalsRowFunction="sum"/>
    <tableColumn id="11" xr3:uid="{00000000-0010-0000-0D00-00000B000000}" name="Paid Second" totalsRowFunction="sum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PolsubTable14" displayName="PolsubTable14" ref="A2:K4" totalsRowCount="1">
  <autoFilter ref="A2:K3" xr:uid="{00000000-0009-0000-0100-00000F000000}"/>
  <tableColumns count="11">
    <tableColumn id="1" xr3:uid="{00000000-0010-0000-0E00-000001000000}" name="Project"/>
    <tableColumn id="2" xr3:uid="{00000000-0010-0000-0E00-000002000000}" name="Levy Year"/>
    <tableColumn id="3" xr3:uid="{00000000-0010-0000-0E00-000003000000}" name="Levy Name"/>
    <tableColumn id="4" xr3:uid="{00000000-0010-0000-0E00-000004000000}" name="Whole Rate" totalsRowLabel="Totals:"/>
    <tableColumn id="5" xr3:uid="{00000000-0010-0000-0E00-000005000000}" name="Interest" totalsRowFunction="sum"/>
    <tableColumn id="6" xr3:uid="{00000000-0010-0000-0E00-000006000000}" name="Delinquent" totalsRowFunction="sum"/>
    <tableColumn id="7" xr3:uid="{00000000-0010-0000-0E00-000007000000}" name="First Half" totalsRowFunction="sum"/>
    <tableColumn id="8" xr3:uid="{00000000-0010-0000-0E00-000008000000}" name="Second Half" totalsRowFunction="sum"/>
    <tableColumn id="9" xr3:uid="{00000000-0010-0000-0E00-000009000000}" name="Penalty" totalsRowFunction="sum"/>
    <tableColumn id="10" xr3:uid="{00000000-0010-0000-0E00-00000A000000}" name="Paid First" totalsRowFunction="sum"/>
    <tableColumn id="11" xr3:uid="{00000000-0010-0000-0E00-00000B000000}" name="Paid Second" totalsRowFunction="sum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PolsubTable15" displayName="PolsubTable15" ref="A2:K5" totalsRowCount="1">
  <autoFilter ref="A2:K4" xr:uid="{00000000-0009-0000-0100-000010000000}"/>
  <tableColumns count="11">
    <tableColumn id="1" xr3:uid="{00000000-0010-0000-0F00-000001000000}" name="Project"/>
    <tableColumn id="2" xr3:uid="{00000000-0010-0000-0F00-000002000000}" name="Levy Year"/>
    <tableColumn id="3" xr3:uid="{00000000-0010-0000-0F00-000003000000}" name="Levy Name"/>
    <tableColumn id="4" xr3:uid="{00000000-0010-0000-0F00-000004000000}" name="Whole Rate" totalsRowLabel="Totals:"/>
    <tableColumn id="5" xr3:uid="{00000000-0010-0000-0F00-000005000000}" name="Interest" totalsRowFunction="sum"/>
    <tableColumn id="6" xr3:uid="{00000000-0010-0000-0F00-000006000000}" name="Delinquent" totalsRowFunction="sum"/>
    <tableColumn id="7" xr3:uid="{00000000-0010-0000-0F00-000007000000}" name="First Half" totalsRowFunction="sum"/>
    <tableColumn id="8" xr3:uid="{00000000-0010-0000-0F00-000008000000}" name="Second Half" totalsRowFunction="sum"/>
    <tableColumn id="9" xr3:uid="{00000000-0010-0000-0F00-000009000000}" name="Penalty" totalsRowFunction="sum"/>
    <tableColumn id="10" xr3:uid="{00000000-0010-0000-0F00-00000A000000}" name="Paid First" totalsRowFunction="sum"/>
    <tableColumn id="11" xr3:uid="{00000000-0010-0000-0F00-00000B000000}" name="Paid Second" totalsRowFunction="sum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PolsubTable16" displayName="PolsubTable16" ref="A2:K12" totalsRowCount="1">
  <autoFilter ref="A2:K11" xr:uid="{00000000-0009-0000-0100-000011000000}"/>
  <tableColumns count="11">
    <tableColumn id="1" xr3:uid="{00000000-0010-0000-1000-000001000000}" name="Project"/>
    <tableColumn id="2" xr3:uid="{00000000-0010-0000-1000-000002000000}" name="Levy Year"/>
    <tableColumn id="3" xr3:uid="{00000000-0010-0000-1000-000003000000}" name="Levy Name"/>
    <tableColumn id="4" xr3:uid="{00000000-0010-0000-1000-000004000000}" name="Whole Rate" totalsRowLabel="Totals:"/>
    <tableColumn id="5" xr3:uid="{00000000-0010-0000-1000-000005000000}" name="Interest" totalsRowFunction="sum"/>
    <tableColumn id="6" xr3:uid="{00000000-0010-0000-1000-000006000000}" name="Delinquent" totalsRowFunction="sum"/>
    <tableColumn id="7" xr3:uid="{00000000-0010-0000-1000-000007000000}" name="First Half" totalsRowFunction="sum"/>
    <tableColumn id="8" xr3:uid="{00000000-0010-0000-1000-000008000000}" name="Second Half" totalsRowFunction="sum"/>
    <tableColumn id="9" xr3:uid="{00000000-0010-0000-1000-000009000000}" name="Penalty" totalsRowFunction="sum"/>
    <tableColumn id="10" xr3:uid="{00000000-0010-0000-1000-00000A000000}" name="Paid First" totalsRowFunction="sum"/>
    <tableColumn id="11" xr3:uid="{00000000-0010-0000-1000-00000B000000}" name="Paid Second" totalsRowFunction="sum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PolsubTable17" displayName="PolsubTable17" ref="A2:K7" totalsRowCount="1">
  <autoFilter ref="A2:K6" xr:uid="{00000000-0009-0000-0100-000012000000}"/>
  <tableColumns count="11">
    <tableColumn id="1" xr3:uid="{00000000-0010-0000-1100-000001000000}" name="Project"/>
    <tableColumn id="2" xr3:uid="{00000000-0010-0000-1100-000002000000}" name="Levy Year"/>
    <tableColumn id="3" xr3:uid="{00000000-0010-0000-1100-000003000000}" name="Levy Name"/>
    <tableColumn id="4" xr3:uid="{00000000-0010-0000-1100-000004000000}" name="Whole Rate" totalsRowLabel="Totals:"/>
    <tableColumn id="5" xr3:uid="{00000000-0010-0000-1100-000005000000}" name="Interest" totalsRowFunction="sum"/>
    <tableColumn id="6" xr3:uid="{00000000-0010-0000-1100-000006000000}" name="Delinquent" totalsRowFunction="sum"/>
    <tableColumn id="7" xr3:uid="{00000000-0010-0000-1100-000007000000}" name="First Half" totalsRowFunction="sum"/>
    <tableColumn id="8" xr3:uid="{00000000-0010-0000-1100-000008000000}" name="Second Half" totalsRowFunction="sum"/>
    <tableColumn id="9" xr3:uid="{00000000-0010-0000-1100-000009000000}" name="Penalty" totalsRowFunction="sum"/>
    <tableColumn id="10" xr3:uid="{00000000-0010-0000-1100-00000A000000}" name="Paid First" totalsRowFunction="sum"/>
    <tableColumn id="11" xr3:uid="{00000000-0010-0000-1100-00000B000000}" name="Paid Second" totalsRowFunction="sum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PolsubTable18" displayName="PolsubTable18" ref="A2:K8" totalsRowCount="1">
  <autoFilter ref="A2:K7" xr:uid="{00000000-0009-0000-0100-000013000000}"/>
  <tableColumns count="11">
    <tableColumn id="1" xr3:uid="{00000000-0010-0000-1200-000001000000}" name="Project"/>
    <tableColumn id="2" xr3:uid="{00000000-0010-0000-1200-000002000000}" name="Levy Year"/>
    <tableColumn id="3" xr3:uid="{00000000-0010-0000-1200-000003000000}" name="Levy Name"/>
    <tableColumn id="4" xr3:uid="{00000000-0010-0000-1200-000004000000}" name="Whole Rate" totalsRowLabel="Totals:"/>
    <tableColumn id="5" xr3:uid="{00000000-0010-0000-1200-000005000000}" name="Interest" totalsRowFunction="sum"/>
    <tableColumn id="6" xr3:uid="{00000000-0010-0000-1200-000006000000}" name="Delinquent" totalsRowFunction="sum"/>
    <tableColumn id="7" xr3:uid="{00000000-0010-0000-1200-000007000000}" name="First Half" totalsRowFunction="sum"/>
    <tableColumn id="8" xr3:uid="{00000000-0010-0000-1200-000008000000}" name="Second Half" totalsRowFunction="sum"/>
    <tableColumn id="9" xr3:uid="{00000000-0010-0000-1200-000009000000}" name="Penalty" totalsRowFunction="sum"/>
    <tableColumn id="10" xr3:uid="{00000000-0010-0000-1200-00000A000000}" name="Paid First" totalsRowFunction="sum"/>
    <tableColumn id="11" xr3:uid="{00000000-0010-0000-1200-00000B000000}" name="Paid Second" totalsRowFunction="sum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PolsubTable19" displayName="PolsubTable19" ref="A2:K6" totalsRowCount="1">
  <autoFilter ref="A2:K5" xr:uid="{00000000-0009-0000-0100-000014000000}"/>
  <tableColumns count="11">
    <tableColumn id="1" xr3:uid="{00000000-0010-0000-1300-000001000000}" name="Project"/>
    <tableColumn id="2" xr3:uid="{00000000-0010-0000-1300-000002000000}" name="Levy Year"/>
    <tableColumn id="3" xr3:uid="{00000000-0010-0000-1300-000003000000}" name="Levy Name"/>
    <tableColumn id="4" xr3:uid="{00000000-0010-0000-1300-000004000000}" name="Whole Rate" totalsRowLabel="Totals:"/>
    <tableColumn id="5" xr3:uid="{00000000-0010-0000-1300-000005000000}" name="Interest" totalsRowFunction="sum"/>
    <tableColumn id="6" xr3:uid="{00000000-0010-0000-1300-000006000000}" name="Delinquent" totalsRowFunction="sum"/>
    <tableColumn id="7" xr3:uid="{00000000-0010-0000-1300-000007000000}" name="First Half" totalsRowFunction="sum"/>
    <tableColumn id="8" xr3:uid="{00000000-0010-0000-1300-000008000000}" name="Second Half" totalsRowFunction="sum"/>
    <tableColumn id="9" xr3:uid="{00000000-0010-0000-1300-000009000000}" name="Penalty" totalsRowFunction="sum"/>
    <tableColumn id="10" xr3:uid="{00000000-0010-0000-1300-00000A000000}" name="Paid First" totalsRowFunction="sum"/>
    <tableColumn id="11" xr3:uid="{00000000-0010-0000-1300-00000B000000}" name="Paid Second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workbookViewId="0">
      <selection activeCell="K4" sqref="K4"/>
    </sheetView>
  </sheetViews>
  <sheetFormatPr defaultRowHeight="15" x14ac:dyDescent="0.25"/>
  <cols>
    <col min="1" max="1" width="30.85546875" customWidth="1"/>
    <col min="2" max="2" width="12" customWidth="1"/>
    <col min="3" max="3" width="15.1406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15</v>
      </c>
      <c r="C3" t="s">
        <v>16</v>
      </c>
      <c r="D3" s="1">
        <v>3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51097.46</v>
      </c>
      <c r="K3" s="1">
        <v>0</v>
      </c>
    </row>
    <row r="4" spans="1:11" x14ac:dyDescent="0.25">
      <c r="A4" t="s">
        <v>17</v>
      </c>
      <c r="B4" t="s">
        <v>15</v>
      </c>
      <c r="C4" t="s">
        <v>16</v>
      </c>
      <c r="D4" s="1">
        <v>3</v>
      </c>
      <c r="E4" s="1">
        <v>0</v>
      </c>
      <c r="F4" s="1">
        <v>0</v>
      </c>
      <c r="G4" s="1">
        <v>83464.58</v>
      </c>
      <c r="H4" s="1">
        <v>83464.58</v>
      </c>
      <c r="I4" s="1">
        <v>0</v>
      </c>
      <c r="J4" s="1">
        <v>83464.58</v>
      </c>
      <c r="K4" s="1">
        <v>83464.58</v>
      </c>
    </row>
    <row r="5" spans="1:11" x14ac:dyDescent="0.25">
      <c r="A5" t="s">
        <v>18</v>
      </c>
      <c r="B5" t="s">
        <v>15</v>
      </c>
      <c r="C5" t="s">
        <v>16</v>
      </c>
      <c r="D5" s="1">
        <v>3</v>
      </c>
      <c r="E5" s="1">
        <v>0</v>
      </c>
      <c r="F5" s="1">
        <v>0</v>
      </c>
      <c r="G5" s="1">
        <v>34351.15</v>
      </c>
      <c r="H5" s="1">
        <v>34351.15</v>
      </c>
      <c r="I5" s="1">
        <v>0</v>
      </c>
      <c r="J5" s="1">
        <v>68702.3</v>
      </c>
      <c r="K5" s="1">
        <v>0</v>
      </c>
    </row>
    <row r="6" spans="1:11" x14ac:dyDescent="0.25">
      <c r="D6" t="s">
        <v>19</v>
      </c>
      <c r="E6">
        <f>SUBTOTAL(109,PolsubTable0[Interest])</f>
        <v>0</v>
      </c>
      <c r="F6">
        <f>SUBTOTAL(109,PolsubTable0[Delinquent])</f>
        <v>0</v>
      </c>
      <c r="G6">
        <f>SUBTOTAL(109,PolsubTable0[First Half])</f>
        <v>117815.73000000001</v>
      </c>
      <c r="H6">
        <f>SUBTOTAL(109,PolsubTable0[Second Half])</f>
        <v>117815.73000000001</v>
      </c>
      <c r="I6">
        <f>SUBTOTAL(109,PolsubTable0[Penalty])</f>
        <v>0</v>
      </c>
      <c r="J6">
        <f>SUBTOTAL(109,PolsubTable0[Paid First])</f>
        <v>203264.34000000003</v>
      </c>
      <c r="K6">
        <f>SUBTOTAL(109,PolsubTable0[Paid Second])</f>
        <v>83464.58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85" orientation="landscape" r:id="rId1"/>
  <headerFooter differentOddEven="1" differentFirst="1">
    <oddHeader>&amp;CMADISON COUNTY 
Alternative Energy Distribution for: 10490-MADISON COUNTY</oddHeader>
    <evenHeader>&amp;CMADISON COUNTY 
Alternative Energy Distribution for: 10490-MADISON COUNTY</evenHeader>
    <firstHeader>&amp;CMADISON COUNTY 
Alternative Energy Distribution for: 10490-MADISON COUNTY</first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"/>
  <sheetViews>
    <sheetView workbookViewId="0">
      <selection activeCell="K4" sqref="K4"/>
    </sheetView>
  </sheetViews>
  <sheetFormatPr defaultRowHeight="15" x14ac:dyDescent="0.25"/>
  <cols>
    <col min="1" max="1" width="30.85546875" customWidth="1"/>
    <col min="2" max="2" width="12" customWidth="1"/>
    <col min="3" max="3" width="16.8554687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15</v>
      </c>
      <c r="C3" t="s">
        <v>20</v>
      </c>
      <c r="D3" s="1">
        <v>0.5</v>
      </c>
      <c r="E3" s="1">
        <v>0</v>
      </c>
      <c r="F3" s="1">
        <v>0</v>
      </c>
      <c r="G3" s="1">
        <v>8516.25</v>
      </c>
      <c r="H3" s="1">
        <v>0</v>
      </c>
      <c r="I3" s="1">
        <v>0</v>
      </c>
      <c r="J3" s="1">
        <v>8516.25</v>
      </c>
      <c r="K3" s="1">
        <v>0</v>
      </c>
    </row>
    <row r="4" spans="1:11" x14ac:dyDescent="0.25">
      <c r="A4" t="s">
        <v>17</v>
      </c>
      <c r="B4" t="s">
        <v>15</v>
      </c>
      <c r="C4" t="s">
        <v>20</v>
      </c>
      <c r="D4" s="1">
        <v>0.5</v>
      </c>
      <c r="E4" s="1">
        <v>0</v>
      </c>
      <c r="F4" s="1">
        <v>0</v>
      </c>
      <c r="G4" s="1">
        <v>13910.77</v>
      </c>
      <c r="H4" s="1">
        <v>13910.77</v>
      </c>
      <c r="I4" s="1">
        <v>0</v>
      </c>
      <c r="J4" s="1">
        <v>13910.77</v>
      </c>
      <c r="K4" s="1">
        <v>13910.77</v>
      </c>
    </row>
    <row r="5" spans="1:11" x14ac:dyDescent="0.25">
      <c r="A5" t="s">
        <v>18</v>
      </c>
      <c r="B5" t="s">
        <v>15</v>
      </c>
      <c r="C5" t="s">
        <v>20</v>
      </c>
      <c r="D5" s="1">
        <v>0.5</v>
      </c>
      <c r="E5" s="1">
        <v>0</v>
      </c>
      <c r="F5" s="1">
        <v>0</v>
      </c>
      <c r="G5" s="1">
        <v>5725.19</v>
      </c>
      <c r="H5" s="1">
        <v>5725.19</v>
      </c>
      <c r="I5" s="1">
        <v>0</v>
      </c>
      <c r="J5" s="1">
        <v>11450.38</v>
      </c>
      <c r="K5" s="1">
        <v>0</v>
      </c>
    </row>
    <row r="6" spans="1:11" x14ac:dyDescent="0.25">
      <c r="D6" t="s">
        <v>19</v>
      </c>
      <c r="E6">
        <f>SUBTOTAL(109,PolsubTable1[Interest])</f>
        <v>0</v>
      </c>
      <c r="F6">
        <f>SUBTOTAL(109,PolsubTable1[Delinquent])</f>
        <v>0</v>
      </c>
      <c r="G6">
        <f>SUBTOTAL(109,PolsubTable1[First Half])</f>
        <v>28152.21</v>
      </c>
      <c r="H6">
        <f>SUBTOTAL(109,PolsubTable1[Second Half])</f>
        <v>19635.96</v>
      </c>
      <c r="I6">
        <f>SUBTOTAL(109,PolsubTable1[Penalty])</f>
        <v>0</v>
      </c>
      <c r="J6">
        <f>SUBTOTAL(109,PolsubTable1[Paid First])</f>
        <v>33877.4</v>
      </c>
      <c r="K6">
        <f>SUBTOTAL(109,PolsubTable1[Paid Second])</f>
        <v>13910.77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84" orientation="landscape" r:id="rId1"/>
  <headerFooter differentOddEven="1" differentFirst="1">
    <oddHeader>&amp;CMADISON COUNTY 
Alternative Energy Distribution for: 104901-VETERANS RELIEF</oddHeader>
    <evenHeader>&amp;CMADISON COUNTY 
Alternative Energy Distribution for: 104901-VETERANS RELIEF</evenHeader>
    <firstHeader>&amp;CMADISON COUNTY 
Alternative Energy Distribution for: 104901-VETERANS RELIEF</first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8"/>
  <sheetViews>
    <sheetView workbookViewId="0">
      <selection activeCell="K8" sqref="K8"/>
    </sheetView>
  </sheetViews>
  <sheetFormatPr defaultRowHeight="15" x14ac:dyDescent="0.25"/>
  <cols>
    <col min="1" max="1" width="30.85546875" customWidth="1"/>
    <col min="2" max="2" width="12" customWidth="1"/>
    <col min="3" max="3" width="28.425781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21</v>
      </c>
      <c r="C3" t="s">
        <v>22</v>
      </c>
      <c r="D3" s="1">
        <v>0.1</v>
      </c>
      <c r="E3" s="1">
        <v>0</v>
      </c>
      <c r="F3" s="1">
        <v>0</v>
      </c>
      <c r="G3" s="1">
        <v>1703.25</v>
      </c>
      <c r="H3" s="1">
        <v>0</v>
      </c>
      <c r="I3" s="1">
        <v>0</v>
      </c>
      <c r="J3" s="1">
        <v>1703.25</v>
      </c>
      <c r="K3" s="1">
        <v>0</v>
      </c>
    </row>
    <row r="4" spans="1:11" x14ac:dyDescent="0.25">
      <c r="A4" t="s">
        <v>14</v>
      </c>
      <c r="B4" t="s">
        <v>21</v>
      </c>
      <c r="C4" t="s">
        <v>22</v>
      </c>
      <c r="D4" s="1">
        <v>0.4</v>
      </c>
      <c r="E4" s="1">
        <v>0</v>
      </c>
      <c r="F4" s="1">
        <v>0</v>
      </c>
      <c r="G4" s="1">
        <v>6813</v>
      </c>
      <c r="H4" s="1">
        <v>0</v>
      </c>
      <c r="I4" s="1">
        <v>0</v>
      </c>
      <c r="J4" s="1">
        <v>6813</v>
      </c>
      <c r="K4" s="1">
        <v>0</v>
      </c>
    </row>
    <row r="5" spans="1:11" x14ac:dyDescent="0.25">
      <c r="A5" t="s">
        <v>14</v>
      </c>
      <c r="B5" t="s">
        <v>23</v>
      </c>
      <c r="C5" t="s">
        <v>22</v>
      </c>
      <c r="D5" s="1">
        <v>1.2</v>
      </c>
      <c r="E5" s="1">
        <v>0</v>
      </c>
      <c r="F5" s="1">
        <v>0</v>
      </c>
      <c r="G5" s="1">
        <v>20438.990000000002</v>
      </c>
      <c r="H5" s="1">
        <v>0</v>
      </c>
      <c r="I5" s="1">
        <v>0</v>
      </c>
      <c r="J5" s="1">
        <v>20438.990000000002</v>
      </c>
      <c r="K5" s="1">
        <v>0</v>
      </c>
    </row>
    <row r="6" spans="1:11" x14ac:dyDescent="0.25">
      <c r="A6" t="s">
        <v>14</v>
      </c>
      <c r="B6" t="s">
        <v>24</v>
      </c>
      <c r="C6" t="s">
        <v>25</v>
      </c>
      <c r="D6" s="1">
        <v>1.3</v>
      </c>
      <c r="E6" s="1">
        <v>0</v>
      </c>
      <c r="F6" s="1">
        <v>0</v>
      </c>
      <c r="G6" s="1">
        <v>22142.240000000002</v>
      </c>
      <c r="H6" s="1">
        <v>0</v>
      </c>
      <c r="I6" s="1">
        <v>0</v>
      </c>
      <c r="J6" s="1">
        <v>22142.240000000002</v>
      </c>
      <c r="K6" s="1">
        <v>0</v>
      </c>
    </row>
    <row r="7" spans="1:11" x14ac:dyDescent="0.25">
      <c r="A7" t="s">
        <v>14</v>
      </c>
      <c r="B7" t="s">
        <v>26</v>
      </c>
      <c r="C7" t="s">
        <v>25</v>
      </c>
      <c r="D7" s="1">
        <v>1</v>
      </c>
      <c r="E7" s="1">
        <v>0</v>
      </c>
      <c r="F7" s="1">
        <v>0</v>
      </c>
      <c r="G7" s="1">
        <v>17032.490000000002</v>
      </c>
      <c r="H7" s="1">
        <v>0</v>
      </c>
      <c r="I7" s="1">
        <v>0</v>
      </c>
      <c r="J7" s="1">
        <v>17032.490000000002</v>
      </c>
      <c r="K7" s="1">
        <v>0</v>
      </c>
    </row>
    <row r="8" spans="1:11" x14ac:dyDescent="0.25">
      <c r="A8" t="s">
        <v>17</v>
      </c>
      <c r="B8" t="s">
        <v>21</v>
      </c>
      <c r="C8" t="s">
        <v>22</v>
      </c>
      <c r="D8" s="1">
        <v>0.1</v>
      </c>
      <c r="E8" s="1">
        <v>0</v>
      </c>
      <c r="F8" s="1">
        <v>0</v>
      </c>
      <c r="G8" s="1">
        <v>2782.15</v>
      </c>
      <c r="H8" s="1">
        <v>2782.15</v>
      </c>
      <c r="I8" s="1">
        <v>0</v>
      </c>
      <c r="J8" s="1">
        <v>2782.15</v>
      </c>
      <c r="K8" s="1">
        <v>2782.15</v>
      </c>
    </row>
    <row r="9" spans="1:11" x14ac:dyDescent="0.25">
      <c r="A9" t="s">
        <v>17</v>
      </c>
      <c r="B9" t="s">
        <v>21</v>
      </c>
      <c r="C9" t="s">
        <v>22</v>
      </c>
      <c r="D9" s="1">
        <v>0.4</v>
      </c>
      <c r="E9" s="1">
        <v>0</v>
      </c>
      <c r="F9" s="1">
        <v>0</v>
      </c>
      <c r="G9" s="1">
        <v>11128.62</v>
      </c>
      <c r="H9" s="1">
        <v>11128.62</v>
      </c>
      <c r="I9" s="1">
        <v>0</v>
      </c>
      <c r="J9" s="1">
        <v>11128.62</v>
      </c>
      <c r="K9" s="1">
        <v>11128.62</v>
      </c>
    </row>
    <row r="10" spans="1:11" x14ac:dyDescent="0.25">
      <c r="A10" t="s">
        <v>17</v>
      </c>
      <c r="B10" t="s">
        <v>23</v>
      </c>
      <c r="C10" t="s">
        <v>22</v>
      </c>
      <c r="D10" s="1">
        <v>1.2</v>
      </c>
      <c r="E10" s="1">
        <v>0</v>
      </c>
      <c r="F10" s="1">
        <v>0</v>
      </c>
      <c r="G10" s="1">
        <v>33385.85</v>
      </c>
      <c r="H10" s="1">
        <v>33385.85</v>
      </c>
      <c r="I10" s="1">
        <v>0</v>
      </c>
      <c r="J10" s="1">
        <v>33385.85</v>
      </c>
      <c r="K10" s="1">
        <v>33385.85</v>
      </c>
    </row>
    <row r="11" spans="1:11" x14ac:dyDescent="0.25">
      <c r="A11" t="s">
        <v>17</v>
      </c>
      <c r="B11" t="s">
        <v>24</v>
      </c>
      <c r="C11" t="s">
        <v>25</v>
      </c>
      <c r="D11" s="1">
        <v>1.3</v>
      </c>
      <c r="E11" s="1">
        <v>0</v>
      </c>
      <c r="F11" s="1">
        <v>0</v>
      </c>
      <c r="G11" s="1">
        <v>36167.99</v>
      </c>
      <c r="H11" s="1">
        <v>36167.99</v>
      </c>
      <c r="I11" s="1">
        <v>0</v>
      </c>
      <c r="J11" s="1">
        <v>36167.99</v>
      </c>
      <c r="K11" s="1">
        <v>36167.99</v>
      </c>
    </row>
    <row r="12" spans="1:11" x14ac:dyDescent="0.25">
      <c r="A12" t="s">
        <v>17</v>
      </c>
      <c r="B12" t="s">
        <v>26</v>
      </c>
      <c r="C12" t="s">
        <v>25</v>
      </c>
      <c r="D12" s="1">
        <v>1</v>
      </c>
      <c r="E12" s="1">
        <v>0</v>
      </c>
      <c r="F12" s="1">
        <v>0</v>
      </c>
      <c r="G12" s="1">
        <v>27821.53</v>
      </c>
      <c r="H12" s="1">
        <v>27821.53</v>
      </c>
      <c r="I12" s="1">
        <v>0</v>
      </c>
      <c r="J12" s="1">
        <v>27821.53</v>
      </c>
      <c r="K12" s="1">
        <v>27821.53</v>
      </c>
    </row>
    <row r="13" spans="1:11" x14ac:dyDescent="0.25">
      <c r="A13" t="s">
        <v>18</v>
      </c>
      <c r="B13" t="s">
        <v>21</v>
      </c>
      <c r="C13" t="s">
        <v>22</v>
      </c>
      <c r="D13" s="1">
        <v>0.1</v>
      </c>
      <c r="E13" s="1">
        <v>0</v>
      </c>
      <c r="F13" s="1">
        <v>0</v>
      </c>
      <c r="G13" s="1">
        <v>1145.04</v>
      </c>
      <c r="H13" s="1">
        <v>1145.04</v>
      </c>
      <c r="I13" s="1">
        <v>0</v>
      </c>
      <c r="J13" s="1">
        <v>2290.08</v>
      </c>
      <c r="K13" s="1">
        <v>0</v>
      </c>
    </row>
    <row r="14" spans="1:11" x14ac:dyDescent="0.25">
      <c r="A14" t="s">
        <v>18</v>
      </c>
      <c r="B14" t="s">
        <v>21</v>
      </c>
      <c r="C14" t="s">
        <v>22</v>
      </c>
      <c r="D14" s="1">
        <v>0.4</v>
      </c>
      <c r="E14" s="1">
        <v>0</v>
      </c>
      <c r="F14" s="1">
        <v>0</v>
      </c>
      <c r="G14" s="1">
        <v>4580.1499999999996</v>
      </c>
      <c r="H14" s="1">
        <v>4580.1499999999996</v>
      </c>
      <c r="I14" s="1">
        <v>0</v>
      </c>
      <c r="J14" s="1">
        <v>9160.2999999999993</v>
      </c>
      <c r="K14" s="1">
        <v>0</v>
      </c>
    </row>
    <row r="15" spans="1:11" x14ac:dyDescent="0.25">
      <c r="A15" t="s">
        <v>18</v>
      </c>
      <c r="B15" t="s">
        <v>23</v>
      </c>
      <c r="C15" t="s">
        <v>22</v>
      </c>
      <c r="D15" s="1">
        <v>1.2</v>
      </c>
      <c r="E15" s="1">
        <v>0</v>
      </c>
      <c r="F15" s="1">
        <v>0</v>
      </c>
      <c r="G15" s="1">
        <v>13740.46</v>
      </c>
      <c r="H15" s="1">
        <v>13740.46</v>
      </c>
      <c r="I15" s="1">
        <v>0</v>
      </c>
      <c r="J15" s="1">
        <v>27480.92</v>
      </c>
      <c r="K15" s="1">
        <v>0</v>
      </c>
    </row>
    <row r="16" spans="1:11" x14ac:dyDescent="0.25">
      <c r="A16" t="s">
        <v>18</v>
      </c>
      <c r="B16" t="s">
        <v>24</v>
      </c>
      <c r="C16" t="s">
        <v>25</v>
      </c>
      <c r="D16" s="1">
        <v>1.3</v>
      </c>
      <c r="E16" s="1">
        <v>0</v>
      </c>
      <c r="F16" s="1">
        <v>0</v>
      </c>
      <c r="G16" s="1">
        <v>14885.5</v>
      </c>
      <c r="H16" s="1">
        <v>14885.5</v>
      </c>
      <c r="I16" s="1">
        <v>0</v>
      </c>
      <c r="J16" s="1">
        <v>29771</v>
      </c>
      <c r="K16" s="1">
        <v>0</v>
      </c>
    </row>
    <row r="17" spans="1:11" x14ac:dyDescent="0.25">
      <c r="A17" t="s">
        <v>18</v>
      </c>
      <c r="B17" t="s">
        <v>26</v>
      </c>
      <c r="C17" t="s">
        <v>25</v>
      </c>
      <c r="D17" s="1">
        <v>1</v>
      </c>
      <c r="E17" s="1">
        <v>0</v>
      </c>
      <c r="F17" s="1">
        <v>0</v>
      </c>
      <c r="G17" s="1">
        <v>11450.38</v>
      </c>
      <c r="H17" s="1">
        <v>11450.38</v>
      </c>
      <c r="I17" s="1">
        <v>0</v>
      </c>
      <c r="J17" s="1">
        <v>22900.76</v>
      </c>
      <c r="K17" s="1">
        <v>0</v>
      </c>
    </row>
    <row r="18" spans="1:11" x14ac:dyDescent="0.25">
      <c r="D18" t="s">
        <v>19</v>
      </c>
      <c r="E18">
        <f>SUBTOTAL(109,PolsubTable2[Interest])</f>
        <v>0</v>
      </c>
      <c r="F18">
        <f>SUBTOTAL(109,PolsubTable2[Delinquent])</f>
        <v>0</v>
      </c>
      <c r="G18">
        <f>SUBTOTAL(109,PolsubTable2[First Half])</f>
        <v>225217.63999999998</v>
      </c>
      <c r="H18">
        <f>SUBTOTAL(109,PolsubTable2[Second Half])</f>
        <v>157087.66999999998</v>
      </c>
      <c r="I18">
        <f>SUBTOTAL(109,PolsubTable2[Penalty])</f>
        <v>0</v>
      </c>
      <c r="J18">
        <f>SUBTOTAL(109,PolsubTable2[Paid First])</f>
        <v>271019.17</v>
      </c>
      <c r="K18">
        <f>SUBTOTAL(109,PolsubTable2[Paid Second])</f>
        <v>111286.13999999998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78" orientation="landscape" r:id="rId1"/>
  <headerFooter differentOddEven="1" differentFirst="1">
    <oddHeader>&amp;CMADISON COUNTY 
Alternative Energy Distribution for: 104902-MAD CO BD OF DEVELOPMENT</oddHeader>
    <evenHeader>&amp;CMADISON COUNTY 
Alternative Energy Distribution for: 104902-MAD CO BD OF DEVELOPMENT</evenHeader>
    <firstHeader>&amp;CMADISON COUNTY 
Alternative Energy Distribution for: 104902-MAD CO BD OF DEVELOPMENT</first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9"/>
  <sheetViews>
    <sheetView workbookViewId="0">
      <selection activeCell="K5" sqref="K5"/>
    </sheetView>
  </sheetViews>
  <sheetFormatPr defaultRowHeight="15" x14ac:dyDescent="0.25"/>
  <cols>
    <col min="1" max="1" width="30.85546875" customWidth="1"/>
    <col min="2" max="2" width="12" customWidth="1"/>
    <col min="3" max="3" width="17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27</v>
      </c>
      <c r="C3" t="s">
        <v>28</v>
      </c>
      <c r="D3" s="1">
        <v>1</v>
      </c>
      <c r="E3" s="1">
        <v>0</v>
      </c>
      <c r="F3" s="1">
        <v>0</v>
      </c>
      <c r="G3" s="1">
        <v>17032.490000000002</v>
      </c>
      <c r="H3" s="1">
        <v>0</v>
      </c>
      <c r="I3" s="1">
        <v>0</v>
      </c>
      <c r="J3" s="1">
        <v>17032.490000000002</v>
      </c>
      <c r="K3" s="1">
        <v>0</v>
      </c>
    </row>
    <row r="4" spans="1:11" x14ac:dyDescent="0.25">
      <c r="A4" t="s">
        <v>14</v>
      </c>
      <c r="B4" t="s">
        <v>29</v>
      </c>
      <c r="C4" t="s">
        <v>28</v>
      </c>
      <c r="D4" s="1">
        <v>0.15</v>
      </c>
      <c r="E4" s="1">
        <v>0</v>
      </c>
      <c r="F4" s="1">
        <v>0</v>
      </c>
      <c r="G4" s="1">
        <v>2554.87</v>
      </c>
      <c r="H4" s="1">
        <v>0</v>
      </c>
      <c r="I4" s="1">
        <v>0</v>
      </c>
      <c r="J4" s="1">
        <v>2554.87</v>
      </c>
      <c r="K4" s="1">
        <v>0</v>
      </c>
    </row>
    <row r="5" spans="1:11" x14ac:dyDescent="0.25">
      <c r="A5" t="s">
        <v>17</v>
      </c>
      <c r="B5" t="s">
        <v>27</v>
      </c>
      <c r="C5" t="s">
        <v>28</v>
      </c>
      <c r="D5" s="1">
        <v>1</v>
      </c>
      <c r="E5" s="1">
        <v>0</v>
      </c>
      <c r="F5" s="1">
        <v>0</v>
      </c>
      <c r="G5" s="1">
        <v>27821.53</v>
      </c>
      <c r="H5" s="1">
        <v>27821.53</v>
      </c>
      <c r="I5" s="1">
        <v>0</v>
      </c>
      <c r="J5" s="1">
        <v>27821.53</v>
      </c>
      <c r="K5" s="1">
        <v>27821.53</v>
      </c>
    </row>
    <row r="6" spans="1:11" x14ac:dyDescent="0.25">
      <c r="A6" t="s">
        <v>17</v>
      </c>
      <c r="B6" t="s">
        <v>29</v>
      </c>
      <c r="C6" t="s">
        <v>28</v>
      </c>
      <c r="D6" s="1">
        <v>0.15</v>
      </c>
      <c r="E6" s="1">
        <v>0</v>
      </c>
      <c r="F6" s="1">
        <v>0</v>
      </c>
      <c r="G6" s="1">
        <v>4173.2299999999996</v>
      </c>
      <c r="H6" s="1">
        <v>4173.2299999999996</v>
      </c>
      <c r="I6" s="1">
        <v>0</v>
      </c>
      <c r="J6" s="1">
        <v>4173.2299999999996</v>
      </c>
      <c r="K6" s="1">
        <v>4173.2299999999996</v>
      </c>
    </row>
    <row r="7" spans="1:11" x14ac:dyDescent="0.25">
      <c r="A7" t="s">
        <v>18</v>
      </c>
      <c r="B7" t="s">
        <v>27</v>
      </c>
      <c r="C7" t="s">
        <v>28</v>
      </c>
      <c r="D7" s="1">
        <v>1</v>
      </c>
      <c r="E7" s="1">
        <v>0</v>
      </c>
      <c r="F7" s="1">
        <v>0</v>
      </c>
      <c r="G7" s="1">
        <v>11450.38</v>
      </c>
      <c r="H7" s="1">
        <v>11450.38</v>
      </c>
      <c r="I7" s="1">
        <v>0</v>
      </c>
      <c r="J7" s="1">
        <v>22900.76</v>
      </c>
      <c r="K7" s="1">
        <v>0</v>
      </c>
    </row>
    <row r="8" spans="1:11" x14ac:dyDescent="0.25">
      <c r="A8" t="s">
        <v>18</v>
      </c>
      <c r="B8" t="s">
        <v>29</v>
      </c>
      <c r="C8" t="s">
        <v>28</v>
      </c>
      <c r="D8" s="1">
        <v>0.15</v>
      </c>
      <c r="E8" s="1">
        <v>0</v>
      </c>
      <c r="F8" s="1">
        <v>0</v>
      </c>
      <c r="G8" s="1">
        <v>1717.56</v>
      </c>
      <c r="H8" s="1">
        <v>1717.56</v>
      </c>
      <c r="I8" s="1">
        <v>0</v>
      </c>
      <c r="J8" s="1">
        <v>3435.12</v>
      </c>
      <c r="K8" s="1">
        <v>0</v>
      </c>
    </row>
    <row r="9" spans="1:11" x14ac:dyDescent="0.25">
      <c r="D9" t="s">
        <v>19</v>
      </c>
      <c r="E9">
        <f>SUBTOTAL(109,PolsubTable3[Interest])</f>
        <v>0</v>
      </c>
      <c r="F9">
        <f>SUBTOTAL(109,PolsubTable3[Delinquent])</f>
        <v>0</v>
      </c>
      <c r="G9">
        <f>SUBTOTAL(109,PolsubTable3[First Half])</f>
        <v>64750.05999999999</v>
      </c>
      <c r="H9">
        <f>SUBTOTAL(109,PolsubTable3[Second Half])</f>
        <v>45162.7</v>
      </c>
      <c r="I9">
        <f>SUBTOTAL(109,PolsubTable3[Penalty])</f>
        <v>0</v>
      </c>
      <c r="J9">
        <f>SUBTOTAL(109,PolsubTable3[Paid First])</f>
        <v>77917.999999999985</v>
      </c>
      <c r="K9">
        <f>SUBTOTAL(109,PolsubTable3[Paid Second])</f>
        <v>31994.76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84" orientation="landscape" r:id="rId1"/>
  <headerFooter differentOddEven="1" differentFirst="1">
    <oddHeader>&amp;CMADISON COUNTY 
Alternative Energy Distribution for: 104903-HEALTH SERVICES</oddHeader>
    <evenHeader>&amp;CMADISON COUNTY 
Alternative Energy Distribution for: 104903-HEALTH SERVICES</evenHeader>
    <firstHeader>&amp;CMADISON COUNTY 
Alternative Energy Distribution for: 104903-HEALTH SERVICES</first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"/>
  <sheetViews>
    <sheetView workbookViewId="0">
      <selection activeCell="K4" sqref="K4"/>
    </sheetView>
  </sheetViews>
  <sheetFormatPr defaultRowHeight="15" x14ac:dyDescent="0.25"/>
  <cols>
    <col min="1" max="1" width="30.85546875" customWidth="1"/>
    <col min="2" max="2" width="12" customWidth="1"/>
    <col min="3" max="3" width="33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30</v>
      </c>
      <c r="C3" t="s">
        <v>31</v>
      </c>
      <c r="D3" s="1">
        <v>0.5</v>
      </c>
      <c r="E3" s="1">
        <v>0</v>
      </c>
      <c r="F3" s="1">
        <v>0</v>
      </c>
      <c r="G3" s="1">
        <v>8516.25</v>
      </c>
      <c r="H3" s="1">
        <v>0</v>
      </c>
      <c r="I3" s="1">
        <v>0</v>
      </c>
      <c r="J3" s="1">
        <v>8516.25</v>
      </c>
      <c r="K3" s="1">
        <v>0</v>
      </c>
    </row>
    <row r="4" spans="1:11" x14ac:dyDescent="0.25">
      <c r="A4" t="s">
        <v>17</v>
      </c>
      <c r="B4" t="s">
        <v>30</v>
      </c>
      <c r="C4" t="s">
        <v>31</v>
      </c>
      <c r="D4" s="1">
        <v>0.5</v>
      </c>
      <c r="E4" s="1">
        <v>0</v>
      </c>
      <c r="F4" s="1">
        <v>0</v>
      </c>
      <c r="G4" s="1">
        <v>13910.77</v>
      </c>
      <c r="H4" s="1">
        <v>13910.77</v>
      </c>
      <c r="I4" s="1">
        <v>0</v>
      </c>
      <c r="J4" s="1">
        <v>13910.77</v>
      </c>
      <c r="K4" s="1">
        <v>13910.77</v>
      </c>
    </row>
    <row r="5" spans="1:11" x14ac:dyDescent="0.25">
      <c r="A5" t="s">
        <v>18</v>
      </c>
      <c r="B5" t="s">
        <v>30</v>
      </c>
      <c r="C5" t="s">
        <v>31</v>
      </c>
      <c r="D5" s="1">
        <v>0.5</v>
      </c>
      <c r="E5" s="1">
        <v>0</v>
      </c>
      <c r="F5" s="1">
        <v>0</v>
      </c>
      <c r="G5" s="1">
        <v>5725.19</v>
      </c>
      <c r="H5" s="1">
        <v>5725.19</v>
      </c>
      <c r="I5" s="1">
        <v>0</v>
      </c>
      <c r="J5" s="1">
        <v>11450.38</v>
      </c>
      <c r="K5" s="1">
        <v>0</v>
      </c>
    </row>
    <row r="6" spans="1:11" x14ac:dyDescent="0.25">
      <c r="D6" t="s">
        <v>19</v>
      </c>
      <c r="E6">
        <f>SUBTOTAL(109,PolsubTable4[Interest])</f>
        <v>0</v>
      </c>
      <c r="F6">
        <f>SUBTOTAL(109,PolsubTable4[Delinquent])</f>
        <v>0</v>
      </c>
      <c r="G6">
        <f>SUBTOTAL(109,PolsubTable4[First Half])</f>
        <v>28152.21</v>
      </c>
      <c r="H6">
        <f>SUBTOTAL(109,PolsubTable4[Second Half])</f>
        <v>19635.96</v>
      </c>
      <c r="I6">
        <f>SUBTOTAL(109,PolsubTable4[Penalty])</f>
        <v>0</v>
      </c>
      <c r="J6">
        <f>SUBTOTAL(109,PolsubTable4[Paid First])</f>
        <v>33877.4</v>
      </c>
      <c r="K6">
        <f>SUBTOTAL(109,PolsubTable4[Paid Second])</f>
        <v>13910.77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76" orientation="landscape" r:id="rId1"/>
  <headerFooter differentOddEven="1" differentFirst="1">
    <oddHeader>&amp;CMADISON COUNTY 
Alternative Energy Distribution for: 104904-MENTAL HEALTH &amp; RECOVERY</oddHeader>
    <evenHeader>&amp;CMADISON COUNTY 
Alternative Energy Distribution for: 104904-MENTAL HEALTH &amp; RECOVERY</evenHeader>
    <firstHeader>&amp;CMADISON COUNTY 
Alternative Energy Distribution for: 104904-MENTAL HEALTH &amp; RECOVERY</first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"/>
  <sheetViews>
    <sheetView workbookViewId="0">
      <selection activeCell="K4" sqref="K4"/>
    </sheetView>
  </sheetViews>
  <sheetFormatPr defaultRowHeight="15" x14ac:dyDescent="0.25"/>
  <cols>
    <col min="1" max="1" width="30.85546875" customWidth="1"/>
    <col min="2" max="2" width="12" customWidth="1"/>
    <col min="3" max="3" width="16.285156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32</v>
      </c>
      <c r="C3" t="s">
        <v>33</v>
      </c>
      <c r="D3" s="1">
        <v>0.8</v>
      </c>
      <c r="E3" s="1">
        <v>0</v>
      </c>
      <c r="F3" s="1">
        <v>0</v>
      </c>
      <c r="G3" s="1">
        <v>13625.99</v>
      </c>
      <c r="H3" s="1">
        <v>0</v>
      </c>
      <c r="I3" s="1">
        <v>0</v>
      </c>
      <c r="J3" s="1">
        <v>13625.99</v>
      </c>
      <c r="K3" s="1">
        <v>0</v>
      </c>
    </row>
    <row r="4" spans="1:11" x14ac:dyDescent="0.25">
      <c r="A4" t="s">
        <v>17</v>
      </c>
      <c r="B4" t="s">
        <v>32</v>
      </c>
      <c r="C4" t="s">
        <v>33</v>
      </c>
      <c r="D4" s="1">
        <v>0.8</v>
      </c>
      <c r="E4" s="1">
        <v>0</v>
      </c>
      <c r="F4" s="1">
        <v>0</v>
      </c>
      <c r="G4" s="1">
        <v>22257.23</v>
      </c>
      <c r="H4" s="1">
        <v>22257.23</v>
      </c>
      <c r="I4" s="1">
        <v>0</v>
      </c>
      <c r="J4" s="1">
        <v>22257.23</v>
      </c>
      <c r="K4" s="1">
        <v>22257.23</v>
      </c>
    </row>
    <row r="5" spans="1:11" x14ac:dyDescent="0.25">
      <c r="A5" t="s">
        <v>18</v>
      </c>
      <c r="B5" t="s">
        <v>32</v>
      </c>
      <c r="C5" t="s">
        <v>33</v>
      </c>
      <c r="D5" s="1">
        <v>0.8</v>
      </c>
      <c r="E5" s="1">
        <v>0</v>
      </c>
      <c r="F5" s="1">
        <v>0</v>
      </c>
      <c r="G5" s="1">
        <v>9160.31</v>
      </c>
      <c r="H5" s="1">
        <v>9160.31</v>
      </c>
      <c r="I5" s="1">
        <v>0</v>
      </c>
      <c r="J5" s="1">
        <v>18320.62</v>
      </c>
      <c r="K5" s="1">
        <v>0</v>
      </c>
    </row>
    <row r="6" spans="1:11" x14ac:dyDescent="0.25">
      <c r="D6" t="s">
        <v>19</v>
      </c>
      <c r="E6">
        <f>SUBTOTAL(109,PolsubTable5[Interest])</f>
        <v>0</v>
      </c>
      <c r="F6">
        <f>SUBTOTAL(109,PolsubTable5[Delinquent])</f>
        <v>0</v>
      </c>
      <c r="G6">
        <f>SUBTOTAL(109,PolsubTable5[First Half])</f>
        <v>45043.53</v>
      </c>
      <c r="H6">
        <f>SUBTOTAL(109,PolsubTable5[Second Half])</f>
        <v>31417.54</v>
      </c>
      <c r="I6">
        <f>SUBTOTAL(109,PolsubTable5[Penalty])</f>
        <v>0</v>
      </c>
      <c r="J6">
        <f>SUBTOTAL(109,PolsubTable5[Paid First])</f>
        <v>54203.839999999997</v>
      </c>
      <c r="K6">
        <f>SUBTOTAL(109,PolsubTable5[Paid Second])</f>
        <v>22257.23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84" orientation="landscape" r:id="rId1"/>
  <headerFooter differentOddEven="1" differentFirst="1">
    <oddHeader>&amp;CMADISON COUNTY 
Alternative Energy Distribution for: 104906-SENIOR CITIZENS</oddHeader>
    <evenHeader>&amp;CMADISON COUNTY 
Alternative Energy Distribution for: 104906-SENIOR CITIZENS</evenHeader>
    <firstHeader>&amp;CMADISON COUNTY 
Alternative Energy Distribution for: 104906-SENIOR CITIZENS</firstHead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"/>
  <sheetViews>
    <sheetView workbookViewId="0">
      <selection activeCell="K4" sqref="K4"/>
    </sheetView>
  </sheetViews>
  <sheetFormatPr defaultRowHeight="15" x14ac:dyDescent="0.25"/>
  <cols>
    <col min="1" max="1" width="30.85546875" customWidth="1"/>
    <col min="2" max="2" width="12" customWidth="1"/>
    <col min="3" max="3" width="13.425781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34</v>
      </c>
      <c r="C3" t="s">
        <v>35</v>
      </c>
      <c r="D3" s="1">
        <v>1</v>
      </c>
      <c r="E3" s="1">
        <v>0</v>
      </c>
      <c r="F3" s="1">
        <v>0</v>
      </c>
      <c r="G3" s="1">
        <v>17032.490000000002</v>
      </c>
      <c r="H3" s="1">
        <v>0</v>
      </c>
      <c r="I3" s="1">
        <v>0</v>
      </c>
      <c r="J3" s="1">
        <v>17032.490000000002</v>
      </c>
      <c r="K3" s="1">
        <v>0</v>
      </c>
    </row>
    <row r="4" spans="1:11" x14ac:dyDescent="0.25">
      <c r="A4" t="s">
        <v>17</v>
      </c>
      <c r="B4" t="s">
        <v>34</v>
      </c>
      <c r="C4" t="s">
        <v>35</v>
      </c>
      <c r="D4" s="1">
        <v>1</v>
      </c>
      <c r="E4" s="1">
        <v>0</v>
      </c>
      <c r="F4" s="1">
        <v>0</v>
      </c>
      <c r="G4" s="1">
        <v>27821.53</v>
      </c>
      <c r="H4" s="1">
        <v>27821.53</v>
      </c>
      <c r="I4" s="1">
        <v>0</v>
      </c>
      <c r="J4" s="1">
        <v>27821.53</v>
      </c>
      <c r="K4" s="1">
        <v>27821.53</v>
      </c>
    </row>
    <row r="5" spans="1:11" x14ac:dyDescent="0.25">
      <c r="A5" t="s">
        <v>18</v>
      </c>
      <c r="B5" t="s">
        <v>34</v>
      </c>
      <c r="C5" t="s">
        <v>35</v>
      </c>
      <c r="D5" s="1">
        <v>1</v>
      </c>
      <c r="E5" s="1">
        <v>0</v>
      </c>
      <c r="F5" s="1">
        <v>0</v>
      </c>
      <c r="G5" s="1">
        <v>11450.38</v>
      </c>
      <c r="H5" s="1">
        <v>11450.38</v>
      </c>
      <c r="I5" s="1">
        <v>0</v>
      </c>
      <c r="J5" s="1">
        <v>22900.76</v>
      </c>
      <c r="K5" s="1">
        <v>0</v>
      </c>
    </row>
    <row r="6" spans="1:11" x14ac:dyDescent="0.25">
      <c r="D6" t="s">
        <v>19</v>
      </c>
      <c r="E6">
        <f>SUBTOTAL(109,PolsubTable6[Interest])</f>
        <v>0</v>
      </c>
      <c r="F6">
        <f>SUBTOTAL(109,PolsubTable6[Delinquent])</f>
        <v>0</v>
      </c>
      <c r="G6">
        <f>SUBTOTAL(109,PolsubTable6[First Half])</f>
        <v>56304.4</v>
      </c>
      <c r="H6">
        <f>SUBTOTAL(109,PolsubTable6[Second Half])</f>
        <v>39271.909999999996</v>
      </c>
      <c r="I6">
        <f>SUBTOTAL(109,PolsubTable6[Penalty])</f>
        <v>0</v>
      </c>
      <c r="J6">
        <f>SUBTOTAL(109,PolsubTable6[Paid First])</f>
        <v>67754.78</v>
      </c>
      <c r="K6">
        <f>SUBTOTAL(109,PolsubTable6[Paid Second])</f>
        <v>27821.53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85" orientation="landscape" r:id="rId1"/>
  <headerFooter differentOddEven="1" differentFirst="1">
    <oddHeader>&amp;CMADISON COUNTY 
Alternative Energy Distribution for: 104905-9-1-1</oddHeader>
    <evenHeader>&amp;CMADISON COUNTY 
Alternative Energy Distribution for: 104905-9-1-1</evenHeader>
    <firstHeader>&amp;CMADISON COUNTY 
Alternative Energy Distribution for: 104905-9-1-1</firstHead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"/>
  <sheetViews>
    <sheetView workbookViewId="0">
      <selection activeCell="K4" sqref="K4"/>
    </sheetView>
  </sheetViews>
  <sheetFormatPr defaultRowHeight="15" x14ac:dyDescent="0.25"/>
  <cols>
    <col min="1" max="1" width="30.85546875" customWidth="1"/>
    <col min="2" max="2" width="12" customWidth="1"/>
    <col min="3" max="3" width="18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21</v>
      </c>
      <c r="C3" t="s">
        <v>36</v>
      </c>
      <c r="D3" s="1">
        <v>1.8</v>
      </c>
      <c r="E3" s="1">
        <v>0</v>
      </c>
      <c r="F3" s="1">
        <v>0</v>
      </c>
      <c r="G3" s="1">
        <v>30658.48</v>
      </c>
      <c r="H3" s="1">
        <v>0</v>
      </c>
      <c r="I3" s="1">
        <v>0</v>
      </c>
      <c r="J3" s="1">
        <v>30658.48</v>
      </c>
      <c r="K3" s="1">
        <v>0</v>
      </c>
    </row>
    <row r="4" spans="1:11" x14ac:dyDescent="0.25">
      <c r="A4" t="s">
        <v>17</v>
      </c>
      <c r="B4" t="s">
        <v>21</v>
      </c>
      <c r="C4" t="s">
        <v>36</v>
      </c>
      <c r="D4" s="1">
        <v>1.8</v>
      </c>
      <c r="E4" s="1">
        <v>0</v>
      </c>
      <c r="F4" s="1">
        <v>0</v>
      </c>
      <c r="G4" s="1">
        <v>50078.76</v>
      </c>
      <c r="H4" s="1">
        <v>50078.76</v>
      </c>
      <c r="I4" s="1">
        <v>0</v>
      </c>
      <c r="J4" s="1">
        <v>50078.76</v>
      </c>
      <c r="K4" s="1">
        <v>50078.76</v>
      </c>
    </row>
    <row r="5" spans="1:11" x14ac:dyDescent="0.25">
      <c r="A5" t="s">
        <v>18</v>
      </c>
      <c r="B5" t="s">
        <v>21</v>
      </c>
      <c r="C5" t="s">
        <v>36</v>
      </c>
      <c r="D5" s="1">
        <v>1.8</v>
      </c>
      <c r="E5" s="1">
        <v>0</v>
      </c>
      <c r="F5" s="1">
        <v>0</v>
      </c>
      <c r="G5" s="1">
        <v>20610.689999999999</v>
      </c>
      <c r="H5" s="1">
        <v>20610.689999999999</v>
      </c>
      <c r="I5" s="1">
        <v>0</v>
      </c>
      <c r="J5" s="1">
        <v>41221.379999999997</v>
      </c>
      <c r="K5" s="1">
        <v>0</v>
      </c>
    </row>
    <row r="6" spans="1:11" x14ac:dyDescent="0.25">
      <c r="D6" t="s">
        <v>19</v>
      </c>
      <c r="E6">
        <f>SUBTOTAL(109,PolsubTable7[Interest])</f>
        <v>0</v>
      </c>
      <c r="F6">
        <f>SUBTOTAL(109,PolsubTable7[Delinquent])</f>
        <v>0</v>
      </c>
      <c r="G6">
        <f>SUBTOTAL(109,PolsubTable7[First Half])</f>
        <v>101347.93000000001</v>
      </c>
      <c r="H6">
        <f>SUBTOTAL(109,PolsubTable7[Second Half])</f>
        <v>70689.45</v>
      </c>
      <c r="I6">
        <f>SUBTOTAL(109,PolsubTable7[Penalty])</f>
        <v>0</v>
      </c>
      <c r="J6">
        <f>SUBTOTAL(109,PolsubTable7[Paid First])</f>
        <v>121958.62</v>
      </c>
      <c r="K6">
        <f>SUBTOTAL(109,PolsubTable7[Paid Second])</f>
        <v>50078.76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83" orientation="landscape" r:id="rId1"/>
  <headerFooter differentOddEven="1" differentFirst="1">
    <oddHeader>&amp;CMADISON COUNTY 
Alternative Energy Distribution for: 30070-TOLLES CAREER &amp; TECHNICAL</oddHeader>
    <evenHeader>&amp;CMADISON COUNTY 
Alternative Energy Distribution for: 30070-TOLLES CAREER &amp; TECHNICAL</evenHeader>
    <firstHeader>&amp;CMADISON COUNTY 
Alternative Energy Distribution for: 30070-TOLLES CAREER &amp; TECHNICAL</firstHead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"/>
  <sheetViews>
    <sheetView workbookViewId="0">
      <selection activeCell="K5" sqref="K5"/>
    </sheetView>
  </sheetViews>
  <sheetFormatPr defaultRowHeight="15" x14ac:dyDescent="0.25"/>
  <cols>
    <col min="1" max="1" width="20.28515625" customWidth="1"/>
    <col min="2" max="2" width="12" customWidth="1"/>
    <col min="3" max="3" width="18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37</v>
      </c>
      <c r="C3" t="s">
        <v>36</v>
      </c>
      <c r="D3" s="1">
        <v>3</v>
      </c>
      <c r="E3" s="1">
        <v>0</v>
      </c>
      <c r="F3" s="1">
        <v>0</v>
      </c>
      <c r="G3" s="1">
        <v>3058.25</v>
      </c>
      <c r="H3" s="1">
        <v>0</v>
      </c>
      <c r="I3" s="1">
        <v>0</v>
      </c>
      <c r="J3" s="1">
        <v>3058.25</v>
      </c>
      <c r="K3" s="1">
        <v>0</v>
      </c>
    </row>
    <row r="4" spans="1:11" x14ac:dyDescent="0.25">
      <c r="A4" t="s">
        <v>14</v>
      </c>
      <c r="B4" t="s">
        <v>38</v>
      </c>
      <c r="C4" t="s">
        <v>36</v>
      </c>
      <c r="D4" s="1">
        <v>1.75</v>
      </c>
      <c r="E4" s="1">
        <v>0</v>
      </c>
      <c r="F4" s="1">
        <v>0</v>
      </c>
      <c r="G4" s="1">
        <v>1783.98</v>
      </c>
      <c r="H4" s="1">
        <v>0</v>
      </c>
      <c r="I4" s="1">
        <v>0</v>
      </c>
      <c r="J4" s="1">
        <v>1783.98</v>
      </c>
      <c r="K4" s="1">
        <v>0</v>
      </c>
    </row>
    <row r="5" spans="1:11" x14ac:dyDescent="0.25">
      <c r="A5" t="s">
        <v>17</v>
      </c>
      <c r="B5" t="s">
        <v>37</v>
      </c>
      <c r="C5" t="s">
        <v>36</v>
      </c>
      <c r="D5" s="1">
        <v>3</v>
      </c>
      <c r="E5" s="1">
        <v>0</v>
      </c>
      <c r="F5" s="1">
        <v>0</v>
      </c>
      <c r="G5" s="1">
        <v>56587.86</v>
      </c>
      <c r="H5" s="1">
        <v>56587.86</v>
      </c>
      <c r="I5" s="1">
        <v>0</v>
      </c>
      <c r="J5" s="1">
        <v>56587.86</v>
      </c>
      <c r="K5" s="1">
        <v>56587.86</v>
      </c>
    </row>
    <row r="6" spans="1:11" x14ac:dyDescent="0.25">
      <c r="A6" t="s">
        <v>17</v>
      </c>
      <c r="B6" t="s">
        <v>38</v>
      </c>
      <c r="C6" t="s">
        <v>36</v>
      </c>
      <c r="D6" s="1">
        <v>1.75</v>
      </c>
      <c r="E6" s="1">
        <v>0</v>
      </c>
      <c r="F6" s="1">
        <v>0</v>
      </c>
      <c r="G6" s="1">
        <v>33009.589999999997</v>
      </c>
      <c r="H6" s="1">
        <v>33009.589999999997</v>
      </c>
      <c r="I6" s="1">
        <v>0</v>
      </c>
      <c r="J6" s="1">
        <v>33009.589999999997</v>
      </c>
      <c r="K6" s="1">
        <v>33009.589999999997</v>
      </c>
    </row>
    <row r="7" spans="1:11" x14ac:dyDescent="0.25">
      <c r="D7" t="s">
        <v>19</v>
      </c>
      <c r="E7">
        <f>SUBTOTAL(109,PolsubTable8[Interest])</f>
        <v>0</v>
      </c>
      <c r="F7">
        <f>SUBTOTAL(109,PolsubTable8[Delinquent])</f>
        <v>0</v>
      </c>
      <c r="G7">
        <f>SUBTOTAL(109,PolsubTable8[First Half])</f>
        <v>94439.679999999993</v>
      </c>
      <c r="H7">
        <f>SUBTOTAL(109,PolsubTable8[Second Half])</f>
        <v>89597.45</v>
      </c>
      <c r="I7">
        <f>SUBTOTAL(109,PolsubTable8[Penalty])</f>
        <v>0</v>
      </c>
      <c r="J7">
        <f>SUBTOTAL(109,PolsubTable8[Paid First])</f>
        <v>94439.679999999993</v>
      </c>
      <c r="K7">
        <f>SUBTOTAL(109,PolsubTable8[Paid Second])</f>
        <v>89597.45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89" orientation="landscape" r:id="rId1"/>
  <headerFooter differentOddEven="1" differentFirst="1">
    <oddHeader>&amp;CMADISON COUNTY 
Alternative Energy Distribution for: 60440-MADISON CO. EMERGENCY MED</oddHeader>
    <evenHeader>&amp;CMADISON COUNTY 
Alternative Energy Distribution for: 60440-MADISON CO. EMERGENCY MED</evenHeader>
    <firstHeader>&amp;CMADISON COUNTY 
Alternative Energy Distribution for: 60440-MADISON CO. EMERGENCY MED</firstHead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"/>
  <sheetViews>
    <sheetView workbookViewId="0">
      <selection activeCell="K4" sqref="K4"/>
    </sheetView>
  </sheetViews>
  <sheetFormatPr defaultRowHeight="15" x14ac:dyDescent="0.25"/>
  <cols>
    <col min="1" max="1" width="20.28515625" customWidth="1"/>
    <col min="2" max="2" width="12" customWidth="1"/>
    <col min="3" max="3" width="13.285156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37</v>
      </c>
      <c r="C3" t="s">
        <v>39</v>
      </c>
      <c r="D3" s="1">
        <v>4.75</v>
      </c>
      <c r="E3" s="1">
        <v>0</v>
      </c>
      <c r="F3" s="1">
        <v>0</v>
      </c>
      <c r="G3" s="1">
        <v>4842.24</v>
      </c>
      <c r="H3" s="1">
        <v>0</v>
      </c>
      <c r="I3" s="1">
        <v>0</v>
      </c>
      <c r="J3" s="1">
        <v>4842.2299999999996</v>
      </c>
      <c r="K3" s="1">
        <v>0</v>
      </c>
    </row>
    <row r="4" spans="1:11" x14ac:dyDescent="0.25">
      <c r="A4" t="s">
        <v>17</v>
      </c>
      <c r="B4" t="s">
        <v>37</v>
      </c>
      <c r="C4" t="s">
        <v>39</v>
      </c>
      <c r="D4" s="1">
        <v>4.75</v>
      </c>
      <c r="E4" s="1">
        <v>0</v>
      </c>
      <c r="F4" s="1">
        <v>0</v>
      </c>
      <c r="G4" s="1">
        <v>89597.45</v>
      </c>
      <c r="H4" s="1">
        <v>89597.45</v>
      </c>
      <c r="I4" s="1">
        <v>0</v>
      </c>
      <c r="J4" s="1">
        <v>89597.45</v>
      </c>
      <c r="K4" s="1">
        <v>89597.45</v>
      </c>
    </row>
    <row r="5" spans="1:11" x14ac:dyDescent="0.25">
      <c r="D5" t="s">
        <v>19</v>
      </c>
      <c r="E5">
        <f>SUBTOTAL(109,PolsubTable9[Interest])</f>
        <v>0</v>
      </c>
      <c r="F5">
        <f>SUBTOTAL(109,PolsubTable9[Delinquent])</f>
        <v>0</v>
      </c>
      <c r="G5">
        <f>SUBTOTAL(109,PolsubTable9[First Half])</f>
        <v>94439.69</v>
      </c>
      <c r="H5">
        <f>SUBTOTAL(109,PolsubTable9[Second Half])</f>
        <v>89597.45</v>
      </c>
      <c r="I5">
        <f>SUBTOTAL(109,PolsubTable9[Penalty])</f>
        <v>0</v>
      </c>
      <c r="J5">
        <f>SUBTOTAL(109,PolsubTable9[Paid First])</f>
        <v>94439.679999999993</v>
      </c>
      <c r="K5">
        <f>SUBTOTAL(109,PolsubTable9[Paid Second])</f>
        <v>89597.45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92" orientation="landscape" r:id="rId1"/>
  <headerFooter differentOddEven="1" differentFirst="1">
    <oddHeader>&amp;CMADISON COUNTY 
Alternative Energy Distribution for: 61201-CENTRAL TWP JNT FIRE DIST</oddHeader>
    <evenHeader>&amp;CMADISON COUNTY 
Alternative Energy Distribution for: 61201-CENTRAL TWP JNT FIRE DIST</evenHeader>
    <firstHeader>&amp;CMADISON COUNTY 
Alternative Energy Distribution for: 61201-CENTRAL TWP JNT FIRE DIST</firstHead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7"/>
  <sheetViews>
    <sheetView workbookViewId="0">
      <selection activeCell="K10" sqref="K10"/>
    </sheetView>
  </sheetViews>
  <sheetFormatPr defaultRowHeight="15" x14ac:dyDescent="0.25"/>
  <cols>
    <col min="1" max="1" width="20.28515625" customWidth="1"/>
    <col min="2" max="2" width="12" customWidth="1"/>
    <col min="3" max="3" width="27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15</v>
      </c>
      <c r="C3" t="s">
        <v>16</v>
      </c>
      <c r="D3" s="1">
        <v>5.0999999999999996</v>
      </c>
      <c r="E3" s="1">
        <v>0</v>
      </c>
      <c r="F3" s="1">
        <v>0</v>
      </c>
      <c r="G3" s="1">
        <v>86865.7</v>
      </c>
      <c r="H3" s="1">
        <v>0</v>
      </c>
      <c r="I3" s="1">
        <v>0</v>
      </c>
      <c r="J3" s="1">
        <v>86865.7</v>
      </c>
      <c r="K3" s="1">
        <v>0</v>
      </c>
    </row>
    <row r="4" spans="1:11" x14ac:dyDescent="0.25">
      <c r="A4" t="s">
        <v>14</v>
      </c>
      <c r="B4" t="s">
        <v>21</v>
      </c>
      <c r="C4" t="s">
        <v>36</v>
      </c>
      <c r="D4" s="1">
        <v>16</v>
      </c>
      <c r="E4" s="1">
        <v>0</v>
      </c>
      <c r="F4" s="1">
        <v>0</v>
      </c>
      <c r="G4" s="1">
        <v>272519.82</v>
      </c>
      <c r="H4" s="1">
        <v>0</v>
      </c>
      <c r="I4" s="1">
        <v>0</v>
      </c>
      <c r="J4" s="1">
        <v>272519.82</v>
      </c>
      <c r="K4" s="1">
        <v>0</v>
      </c>
    </row>
    <row r="5" spans="1:11" x14ac:dyDescent="0.25">
      <c r="A5" t="s">
        <v>14</v>
      </c>
      <c r="B5" t="s">
        <v>40</v>
      </c>
      <c r="C5" t="s">
        <v>36</v>
      </c>
      <c r="D5" s="1">
        <v>6</v>
      </c>
      <c r="E5" s="1">
        <v>0</v>
      </c>
      <c r="F5" s="1">
        <v>0</v>
      </c>
      <c r="G5" s="1">
        <v>102194.94</v>
      </c>
      <c r="H5" s="1">
        <v>0</v>
      </c>
      <c r="I5" s="1">
        <v>0</v>
      </c>
      <c r="J5" s="1">
        <v>102194.94</v>
      </c>
      <c r="K5" s="1">
        <v>0</v>
      </c>
    </row>
    <row r="6" spans="1:11" x14ac:dyDescent="0.25">
      <c r="A6" t="s">
        <v>14</v>
      </c>
      <c r="B6" t="s">
        <v>41</v>
      </c>
      <c r="C6" t="s">
        <v>36</v>
      </c>
      <c r="D6" s="1">
        <v>5.85</v>
      </c>
      <c r="E6" s="1">
        <v>0</v>
      </c>
      <c r="F6" s="1">
        <v>0</v>
      </c>
      <c r="G6" s="1">
        <v>99640.06</v>
      </c>
      <c r="H6" s="1">
        <v>0</v>
      </c>
      <c r="I6" s="1">
        <v>0</v>
      </c>
      <c r="J6" s="1">
        <v>99640.06</v>
      </c>
      <c r="K6" s="1">
        <v>0</v>
      </c>
    </row>
    <row r="7" spans="1:11" x14ac:dyDescent="0.25">
      <c r="A7" t="s">
        <v>14</v>
      </c>
      <c r="B7" t="s">
        <v>42</v>
      </c>
      <c r="C7" t="s">
        <v>43</v>
      </c>
      <c r="D7" s="1">
        <v>2.5</v>
      </c>
      <c r="E7" s="1">
        <v>0</v>
      </c>
      <c r="F7" s="1">
        <v>0</v>
      </c>
      <c r="G7" s="1">
        <v>42581.22</v>
      </c>
      <c r="H7" s="1">
        <v>0</v>
      </c>
      <c r="I7" s="1">
        <v>0</v>
      </c>
      <c r="J7" s="1">
        <v>42581.22</v>
      </c>
      <c r="K7" s="1">
        <v>0</v>
      </c>
    </row>
    <row r="8" spans="1:11" x14ac:dyDescent="0.25">
      <c r="A8" t="s">
        <v>14</v>
      </c>
      <c r="B8" t="s">
        <v>44</v>
      </c>
      <c r="C8" t="s">
        <v>36</v>
      </c>
      <c r="D8" s="1">
        <v>5</v>
      </c>
      <c r="E8" s="1">
        <v>0</v>
      </c>
      <c r="F8" s="1">
        <v>0</v>
      </c>
      <c r="G8" s="1">
        <v>85162.45</v>
      </c>
      <c r="H8" s="1">
        <v>0</v>
      </c>
      <c r="I8" s="1">
        <v>0</v>
      </c>
      <c r="J8" s="1">
        <v>85162.45</v>
      </c>
      <c r="K8" s="1">
        <v>0</v>
      </c>
    </row>
    <row r="9" spans="1:11" x14ac:dyDescent="0.25">
      <c r="A9" t="s">
        <v>14</v>
      </c>
      <c r="B9" t="s">
        <v>24</v>
      </c>
      <c r="C9" t="s">
        <v>36</v>
      </c>
      <c r="D9" s="1">
        <v>8</v>
      </c>
      <c r="E9" s="1">
        <v>0</v>
      </c>
      <c r="F9" s="1">
        <v>0</v>
      </c>
      <c r="G9" s="1">
        <v>136259.92000000001</v>
      </c>
      <c r="H9" s="1">
        <v>0</v>
      </c>
      <c r="I9" s="1">
        <v>0</v>
      </c>
      <c r="J9" s="1">
        <v>136259.92000000001</v>
      </c>
      <c r="K9" s="1">
        <v>0</v>
      </c>
    </row>
    <row r="10" spans="1:11" x14ac:dyDescent="0.25">
      <c r="A10" t="s">
        <v>17</v>
      </c>
      <c r="B10" t="s">
        <v>15</v>
      </c>
      <c r="C10" t="s">
        <v>16</v>
      </c>
      <c r="D10" s="1">
        <v>5.0999999999999996</v>
      </c>
      <c r="E10" s="1">
        <v>0</v>
      </c>
      <c r="F10" s="1">
        <v>0</v>
      </c>
      <c r="G10" s="1">
        <v>141889.79999999999</v>
      </c>
      <c r="H10" s="1">
        <v>141889.79999999999</v>
      </c>
      <c r="I10" s="1">
        <v>0</v>
      </c>
      <c r="J10" s="1">
        <v>141889.79999999999</v>
      </c>
      <c r="K10" s="1">
        <v>141889.79999999999</v>
      </c>
    </row>
    <row r="11" spans="1:11" x14ac:dyDescent="0.25">
      <c r="A11" t="s">
        <v>17</v>
      </c>
      <c r="B11" t="s">
        <v>21</v>
      </c>
      <c r="C11" t="s">
        <v>36</v>
      </c>
      <c r="D11" s="1">
        <v>16</v>
      </c>
      <c r="E11" s="1">
        <v>0</v>
      </c>
      <c r="F11" s="1">
        <v>0</v>
      </c>
      <c r="G11" s="1">
        <v>445144.49</v>
      </c>
      <c r="H11" s="1">
        <v>445144.49</v>
      </c>
      <c r="I11" s="1">
        <v>0</v>
      </c>
      <c r="J11" s="1">
        <v>445144.49</v>
      </c>
      <c r="K11" s="1">
        <v>445144.49</v>
      </c>
    </row>
    <row r="12" spans="1:11" x14ac:dyDescent="0.25">
      <c r="A12" t="s">
        <v>17</v>
      </c>
      <c r="B12" t="s">
        <v>40</v>
      </c>
      <c r="C12" t="s">
        <v>36</v>
      </c>
      <c r="D12" s="1">
        <v>6</v>
      </c>
      <c r="E12" s="1">
        <v>0</v>
      </c>
      <c r="F12" s="1">
        <v>0</v>
      </c>
      <c r="G12" s="1">
        <v>166929.19</v>
      </c>
      <c r="H12" s="1">
        <v>166929.19</v>
      </c>
      <c r="I12" s="1">
        <v>0</v>
      </c>
      <c r="J12" s="1">
        <v>166929.19</v>
      </c>
      <c r="K12" s="1">
        <v>166929.19</v>
      </c>
    </row>
    <row r="13" spans="1:11" x14ac:dyDescent="0.25">
      <c r="A13" t="s">
        <v>17</v>
      </c>
      <c r="B13" t="s">
        <v>41</v>
      </c>
      <c r="C13" t="s">
        <v>36</v>
      </c>
      <c r="D13" s="1">
        <v>5.85</v>
      </c>
      <c r="E13" s="1">
        <v>0</v>
      </c>
      <c r="F13" s="1">
        <v>0</v>
      </c>
      <c r="G13" s="1">
        <v>162755.95000000001</v>
      </c>
      <c r="H13" s="1">
        <v>162755.95000000001</v>
      </c>
      <c r="I13" s="1">
        <v>0</v>
      </c>
      <c r="J13" s="1">
        <v>162755.95000000001</v>
      </c>
      <c r="K13" s="1">
        <v>162755.95000000001</v>
      </c>
    </row>
    <row r="14" spans="1:11" x14ac:dyDescent="0.25">
      <c r="A14" t="s">
        <v>17</v>
      </c>
      <c r="B14" t="s">
        <v>42</v>
      </c>
      <c r="C14" t="s">
        <v>43</v>
      </c>
      <c r="D14" s="1">
        <v>2.5</v>
      </c>
      <c r="E14" s="1">
        <v>0</v>
      </c>
      <c r="F14" s="1">
        <v>0</v>
      </c>
      <c r="G14" s="1">
        <v>69553.83</v>
      </c>
      <c r="H14" s="1">
        <v>69553.83</v>
      </c>
      <c r="I14" s="1">
        <v>0</v>
      </c>
      <c r="J14" s="1">
        <v>69553.83</v>
      </c>
      <c r="K14" s="1">
        <v>69553.83</v>
      </c>
    </row>
    <row r="15" spans="1:11" x14ac:dyDescent="0.25">
      <c r="A15" t="s">
        <v>17</v>
      </c>
      <c r="B15" t="s">
        <v>44</v>
      </c>
      <c r="C15" t="s">
        <v>36</v>
      </c>
      <c r="D15" s="1">
        <v>5</v>
      </c>
      <c r="E15" s="1">
        <v>0</v>
      </c>
      <c r="F15" s="1">
        <v>0</v>
      </c>
      <c r="G15" s="1">
        <v>139107.66</v>
      </c>
      <c r="H15" s="1">
        <v>139107.66</v>
      </c>
      <c r="I15" s="1">
        <v>0</v>
      </c>
      <c r="J15" s="1">
        <v>139107.66</v>
      </c>
      <c r="K15" s="1">
        <v>139107.66</v>
      </c>
    </row>
    <row r="16" spans="1:11" x14ac:dyDescent="0.25">
      <c r="A16" t="s">
        <v>17</v>
      </c>
      <c r="B16" t="s">
        <v>24</v>
      </c>
      <c r="C16" t="s">
        <v>36</v>
      </c>
      <c r="D16" s="1">
        <v>8</v>
      </c>
      <c r="E16" s="1">
        <v>0</v>
      </c>
      <c r="F16" s="1">
        <v>0</v>
      </c>
      <c r="G16" s="1">
        <v>222572.25</v>
      </c>
      <c r="H16" s="1">
        <v>222572.25</v>
      </c>
      <c r="I16" s="1">
        <v>0</v>
      </c>
      <c r="J16" s="1">
        <v>222572.25</v>
      </c>
      <c r="K16" s="1">
        <v>222572.25</v>
      </c>
    </row>
    <row r="17" spans="4:11" x14ac:dyDescent="0.25">
      <c r="D17" t="s">
        <v>19</v>
      </c>
      <c r="E17">
        <f>SUBTOTAL(109,PolsubTable10[Interest])</f>
        <v>0</v>
      </c>
      <c r="F17">
        <f>SUBTOTAL(109,PolsubTable10[Delinquent])</f>
        <v>0</v>
      </c>
      <c r="G17">
        <f>SUBTOTAL(109,PolsubTable10[First Half])</f>
        <v>2173177.2799999998</v>
      </c>
      <c r="H17">
        <f>SUBTOTAL(109,PolsubTable10[Second Half])</f>
        <v>1347953.17</v>
      </c>
      <c r="I17">
        <f>SUBTOTAL(109,PolsubTable10[Penalty])</f>
        <v>0</v>
      </c>
      <c r="J17">
        <f>SUBTOTAL(109,PolsubTable10[Paid First])</f>
        <v>2173177.2799999998</v>
      </c>
      <c r="K17">
        <f>SUBTOTAL(109,PolsubTable10[Paid Second])</f>
        <v>1347953.17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84" orientation="landscape" r:id="rId1"/>
  <headerFooter differentOddEven="1" differentFirst="1">
    <oddHeader>&amp;CMADISON COUNTY 
Alternative Energy Distribution for: 23130-MADISON PLAINS LSD</oddHeader>
    <evenHeader>&amp;CMADISON COUNTY 
Alternative Energy Distribution for: 23130-MADISON PLAINS LSD</evenHeader>
    <firstHeader>&amp;CMADISON COUNTY 
Alternative Energy Distribution for: 23130-MADISON PLAINS LSD</firstHead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"/>
  <sheetViews>
    <sheetView tabSelected="1" workbookViewId="0">
      <selection activeCell="K4" sqref="K4"/>
    </sheetView>
  </sheetViews>
  <sheetFormatPr defaultRowHeight="15" x14ac:dyDescent="0.25"/>
  <cols>
    <col min="1" max="1" width="20.28515625" customWidth="1"/>
    <col min="2" max="2" width="12" customWidth="1"/>
    <col min="3" max="3" width="15.1406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15</v>
      </c>
      <c r="C3" t="s">
        <v>16</v>
      </c>
      <c r="D3" s="1">
        <v>1.4</v>
      </c>
      <c r="E3" s="1">
        <v>0</v>
      </c>
      <c r="F3" s="1">
        <v>0</v>
      </c>
      <c r="G3" s="1">
        <v>1427.18</v>
      </c>
      <c r="H3" s="1">
        <v>0</v>
      </c>
      <c r="I3" s="1">
        <v>0</v>
      </c>
      <c r="J3" s="1">
        <v>1427.18</v>
      </c>
      <c r="K3" s="1">
        <v>0</v>
      </c>
    </row>
    <row r="4" spans="1:11" x14ac:dyDescent="0.25">
      <c r="A4" t="s">
        <v>17</v>
      </c>
      <c r="B4" t="s">
        <v>15</v>
      </c>
      <c r="C4" t="s">
        <v>16</v>
      </c>
      <c r="D4" s="1">
        <v>1.4</v>
      </c>
      <c r="E4" s="1">
        <v>0</v>
      </c>
      <c r="F4" s="1">
        <v>0</v>
      </c>
      <c r="G4" s="1">
        <v>26407.68</v>
      </c>
      <c r="H4" s="1">
        <v>26407.68</v>
      </c>
      <c r="I4" s="1">
        <v>0</v>
      </c>
      <c r="J4" s="1">
        <v>26407.68</v>
      </c>
      <c r="K4" s="1">
        <v>26407.68</v>
      </c>
    </row>
    <row r="5" spans="1:11" x14ac:dyDescent="0.25">
      <c r="D5" t="s">
        <v>19</v>
      </c>
      <c r="E5">
        <f>SUBTOTAL(109,PolsubTable11[Interest])</f>
        <v>0</v>
      </c>
      <c r="F5">
        <f>SUBTOTAL(109,PolsubTable11[Delinquent])</f>
        <v>0</v>
      </c>
      <c r="G5">
        <f>SUBTOTAL(109,PolsubTable11[First Half])</f>
        <v>27834.86</v>
      </c>
      <c r="H5">
        <f>SUBTOTAL(109,PolsubTable11[Second Half])</f>
        <v>26407.68</v>
      </c>
      <c r="I5">
        <f>SUBTOTAL(109,PolsubTable11[Penalty])</f>
        <v>0</v>
      </c>
      <c r="J5">
        <f>SUBTOTAL(109,PolsubTable11[Paid First])</f>
        <v>27834.86</v>
      </c>
      <c r="K5">
        <f>SUBTOTAL(109,PolsubTable11[Paid Second])</f>
        <v>26407.68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91" orientation="landscape" r:id="rId1"/>
  <headerFooter differentOddEven="1" differentFirst="1">
    <oddHeader>&amp;CMADISON COUNTY 
Alternative Energy Distribution for: 43900-OAK RUN TWP</oddHeader>
    <evenHeader>&amp;CMADISON COUNTY 
Alternative Energy Distribution for: 43900-OAK RUN TWP</evenHeader>
    <firstHeader>&amp;CMADISON COUNTY 
Alternative Energy Distribution for: 43900-OAK RUN TWP</firstHead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"/>
  <sheetViews>
    <sheetView workbookViewId="0">
      <selection activeCell="G3" sqref="G3"/>
    </sheetView>
  </sheetViews>
  <sheetFormatPr defaultRowHeight="15" x14ac:dyDescent="0.25"/>
  <cols>
    <col min="1" max="1" width="20.28515625" customWidth="1"/>
    <col min="2" max="2" width="12" customWidth="1"/>
    <col min="3" max="3" width="25.8554687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17</v>
      </c>
      <c r="B3" t="s">
        <v>15</v>
      </c>
      <c r="C3" t="s">
        <v>16</v>
      </c>
      <c r="D3" s="1">
        <v>0.4</v>
      </c>
      <c r="E3" s="1">
        <v>0</v>
      </c>
      <c r="F3" s="1">
        <v>0</v>
      </c>
      <c r="G3" s="1">
        <v>1137.07</v>
      </c>
      <c r="H3" s="1">
        <v>1137.07</v>
      </c>
      <c r="I3" s="1">
        <v>0</v>
      </c>
      <c r="J3" s="1">
        <v>1137.07</v>
      </c>
      <c r="K3" s="1">
        <v>1137.07</v>
      </c>
    </row>
    <row r="4" spans="1:11" x14ac:dyDescent="0.25">
      <c r="A4" t="s">
        <v>17</v>
      </c>
      <c r="B4" t="s">
        <v>15</v>
      </c>
      <c r="C4" t="s">
        <v>45</v>
      </c>
      <c r="D4" s="1">
        <v>0.1</v>
      </c>
      <c r="E4" s="1">
        <v>0</v>
      </c>
      <c r="F4" s="1">
        <v>0</v>
      </c>
      <c r="G4" s="1">
        <v>284.27</v>
      </c>
      <c r="H4" s="1">
        <v>284.27</v>
      </c>
      <c r="I4" s="1">
        <v>0</v>
      </c>
      <c r="J4" s="1">
        <v>284.27</v>
      </c>
      <c r="K4" s="1">
        <v>284.27</v>
      </c>
    </row>
    <row r="5" spans="1:11" x14ac:dyDescent="0.25">
      <c r="A5" t="s">
        <v>17</v>
      </c>
      <c r="B5" t="s">
        <v>37</v>
      </c>
      <c r="C5" t="s">
        <v>46</v>
      </c>
      <c r="D5" s="1">
        <v>0.4</v>
      </c>
      <c r="E5" s="1">
        <v>0</v>
      </c>
      <c r="F5" s="1">
        <v>0</v>
      </c>
      <c r="G5" s="1">
        <v>1137.07</v>
      </c>
      <c r="H5" s="1">
        <v>1137.07</v>
      </c>
      <c r="I5" s="1">
        <v>0</v>
      </c>
      <c r="J5" s="1">
        <v>1137.07</v>
      </c>
      <c r="K5" s="1">
        <v>1137.07</v>
      </c>
    </row>
    <row r="6" spans="1:11" x14ac:dyDescent="0.25">
      <c r="A6" t="s">
        <v>17</v>
      </c>
      <c r="B6" t="s">
        <v>38</v>
      </c>
      <c r="C6" t="s">
        <v>46</v>
      </c>
      <c r="D6" s="1">
        <v>0.1</v>
      </c>
      <c r="E6" s="1">
        <v>0</v>
      </c>
      <c r="F6" s="1">
        <v>0</v>
      </c>
      <c r="G6" s="1">
        <v>284.27</v>
      </c>
      <c r="H6" s="1">
        <v>284.27</v>
      </c>
      <c r="I6" s="1">
        <v>0</v>
      </c>
      <c r="J6" s="1">
        <v>284.27</v>
      </c>
      <c r="K6" s="1">
        <v>284.27</v>
      </c>
    </row>
    <row r="7" spans="1:11" x14ac:dyDescent="0.25">
      <c r="A7" t="s">
        <v>15</v>
      </c>
      <c r="B7" t="s">
        <v>15</v>
      </c>
      <c r="C7" t="s">
        <v>15</v>
      </c>
      <c r="D7" t="s">
        <v>19</v>
      </c>
      <c r="E7">
        <f>SUBTOTAL(109,PolsubTable12[Interest])</f>
        <v>0</v>
      </c>
      <c r="F7">
        <f>SUBTOTAL(109,PolsubTable12[Delinquent])</f>
        <v>0</v>
      </c>
      <c r="G7">
        <f>SUBTOTAL(109,PolsubTable12[First Half])</f>
        <v>2842.68</v>
      </c>
      <c r="H7">
        <f>SUBTOTAL(109,PolsubTable12[Second Half])</f>
        <v>2842.68</v>
      </c>
      <c r="I7">
        <f>SUBTOTAL(109,PolsubTable12[Penalty])</f>
        <v>0</v>
      </c>
      <c r="J7">
        <f>SUBTOTAL(109,PolsubTable12[Paid First])</f>
        <v>2842.68</v>
      </c>
      <c r="K7">
        <f>SUBTOTAL(109,PolsubTable12[Paid Second])</f>
        <v>2842.68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orientation="landscape"/>
  <headerFooter differentOddEven="1" differentFirst="1">
    <oddHeader>&amp;CMADISON COUNTY 
Alternative Energy Distribution for: 44259-PLEASANT TWP</oddHeader>
    <evenHeader>&amp;CMADISON COUNTY 
Alternative Energy Distribution for: 44259-PLEASANT TWP</evenHeader>
    <firstHeader>&amp;CMADISON COUNTY 
Alternative Energy Distribution for: 44259-PLEASANT TWP</firstHeader>
  </headerFooter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"/>
  <sheetViews>
    <sheetView workbookViewId="0">
      <selection activeCell="G3" sqref="G3"/>
    </sheetView>
  </sheetViews>
  <sheetFormatPr defaultRowHeight="15" x14ac:dyDescent="0.25"/>
  <cols>
    <col min="1" max="1" width="20.28515625" customWidth="1"/>
    <col min="2" max="2" width="12" customWidth="1"/>
    <col min="3" max="3" width="18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17</v>
      </c>
      <c r="B3" t="s">
        <v>27</v>
      </c>
      <c r="C3" t="s">
        <v>36</v>
      </c>
      <c r="D3" s="1">
        <v>1</v>
      </c>
      <c r="E3" s="1">
        <v>0</v>
      </c>
      <c r="F3" s="1">
        <v>0</v>
      </c>
      <c r="G3" s="1">
        <v>8958.91</v>
      </c>
      <c r="H3" s="1">
        <v>8958.91</v>
      </c>
      <c r="I3" s="1">
        <v>0</v>
      </c>
      <c r="J3" s="1">
        <v>8958.91</v>
      </c>
      <c r="K3" s="1">
        <v>8958.91</v>
      </c>
    </row>
    <row r="4" spans="1:11" x14ac:dyDescent="0.25">
      <c r="A4" t="s">
        <v>17</v>
      </c>
      <c r="B4" t="s">
        <v>47</v>
      </c>
      <c r="C4" t="s">
        <v>36</v>
      </c>
      <c r="D4" s="1">
        <v>1.8</v>
      </c>
      <c r="E4" s="1">
        <v>0</v>
      </c>
      <c r="F4" s="1">
        <v>0</v>
      </c>
      <c r="G4" s="1">
        <v>16126.04</v>
      </c>
      <c r="H4" s="1">
        <v>16126.04</v>
      </c>
      <c r="I4" s="1">
        <v>0</v>
      </c>
      <c r="J4" s="1">
        <v>16126.04</v>
      </c>
      <c r="K4" s="1">
        <v>16126.04</v>
      </c>
    </row>
    <row r="5" spans="1:11" x14ac:dyDescent="0.25">
      <c r="A5" t="s">
        <v>17</v>
      </c>
      <c r="B5" t="s">
        <v>48</v>
      </c>
      <c r="C5" t="s">
        <v>36</v>
      </c>
      <c r="D5" s="1">
        <v>1.5</v>
      </c>
      <c r="E5" s="1">
        <v>0</v>
      </c>
      <c r="F5" s="1">
        <v>0</v>
      </c>
      <c r="G5" s="1">
        <v>13438.37</v>
      </c>
      <c r="H5" s="1">
        <v>13438.37</v>
      </c>
      <c r="I5" s="1">
        <v>0</v>
      </c>
      <c r="J5" s="1">
        <v>13438.37</v>
      </c>
      <c r="K5" s="1">
        <v>13438.37</v>
      </c>
    </row>
    <row r="6" spans="1:11" x14ac:dyDescent="0.25">
      <c r="A6" t="s">
        <v>17</v>
      </c>
      <c r="B6" t="s">
        <v>48</v>
      </c>
      <c r="C6" t="s">
        <v>36</v>
      </c>
      <c r="D6" s="1">
        <v>1.5</v>
      </c>
      <c r="E6" s="1">
        <v>0</v>
      </c>
      <c r="F6" s="1">
        <v>0</v>
      </c>
      <c r="G6" s="1">
        <v>13438.37</v>
      </c>
      <c r="H6" s="1">
        <v>13438.37</v>
      </c>
      <c r="I6" s="1">
        <v>0</v>
      </c>
      <c r="J6" s="1">
        <v>13438.37</v>
      </c>
      <c r="K6" s="1">
        <v>13438.37</v>
      </c>
    </row>
    <row r="7" spans="1:11" x14ac:dyDescent="0.25">
      <c r="A7" t="s">
        <v>15</v>
      </c>
      <c r="B7" t="s">
        <v>15</v>
      </c>
      <c r="C7" t="s">
        <v>15</v>
      </c>
      <c r="D7" t="s">
        <v>19</v>
      </c>
      <c r="E7">
        <f>SUBTOTAL(109,PolsubTable13[Interest])</f>
        <v>0</v>
      </c>
      <c r="F7">
        <f>SUBTOTAL(109,PolsubTable13[Delinquent])</f>
        <v>0</v>
      </c>
      <c r="G7">
        <f>SUBTOTAL(109,PolsubTable13[First Half])</f>
        <v>51961.69</v>
      </c>
      <c r="H7">
        <f>SUBTOTAL(109,PolsubTable13[Second Half])</f>
        <v>51961.69</v>
      </c>
      <c r="I7">
        <f>SUBTOTAL(109,PolsubTable13[Penalty])</f>
        <v>0</v>
      </c>
      <c r="J7">
        <f>SUBTOTAL(109,PolsubTable13[Paid First])</f>
        <v>51961.69</v>
      </c>
      <c r="K7">
        <f>SUBTOTAL(109,PolsubTable13[Paid Second])</f>
        <v>51961.69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orientation="landscape"/>
  <headerFooter differentOddEven="1" differentFirst="1">
    <oddHeader>&amp;CMADISON COUNTY 
Alternative Energy Distribution for: 60680-STERLING JOINT AMBULANCE</oddHeader>
    <evenHeader>&amp;CMADISON COUNTY 
Alternative Energy Distribution for: 60680-STERLING JOINT AMBULANCE</evenHeader>
    <firstHeader>&amp;CMADISON COUNTY 
Alternative Energy Distribution for: 60680-STERLING JOINT AMBULANCE</firstHeader>
  </headerFooter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4"/>
  <sheetViews>
    <sheetView workbookViewId="0">
      <selection activeCell="G3" sqref="G3"/>
    </sheetView>
  </sheetViews>
  <sheetFormatPr defaultRowHeight="15" x14ac:dyDescent="0.25"/>
  <cols>
    <col min="1" max="1" width="20.28515625" customWidth="1"/>
    <col min="2" max="2" width="12" customWidth="1"/>
    <col min="3" max="3" width="13.285156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17</v>
      </c>
      <c r="B3" t="s">
        <v>49</v>
      </c>
      <c r="C3" t="s">
        <v>50</v>
      </c>
      <c r="D3" s="1">
        <v>1</v>
      </c>
      <c r="E3" s="1">
        <v>0</v>
      </c>
      <c r="F3" s="1">
        <v>0</v>
      </c>
      <c r="G3" s="1">
        <v>2842.67</v>
      </c>
      <c r="H3" s="1">
        <v>2842.67</v>
      </c>
      <c r="I3" s="1">
        <v>0</v>
      </c>
      <c r="J3" s="1">
        <v>2842.67</v>
      </c>
      <c r="K3" s="1">
        <v>2842.67</v>
      </c>
    </row>
    <row r="4" spans="1:11" x14ac:dyDescent="0.25">
      <c r="A4" t="s">
        <v>15</v>
      </c>
      <c r="B4" t="s">
        <v>15</v>
      </c>
      <c r="C4" t="s">
        <v>15</v>
      </c>
      <c r="D4" t="s">
        <v>19</v>
      </c>
      <c r="E4">
        <f>SUBTOTAL(109,PolsubTable14[Interest])</f>
        <v>0</v>
      </c>
      <c r="F4">
        <f>SUBTOTAL(109,PolsubTable14[Delinquent])</f>
        <v>0</v>
      </c>
      <c r="G4">
        <f>SUBTOTAL(109,PolsubTable14[First Half])</f>
        <v>2842.67</v>
      </c>
      <c r="H4">
        <f>SUBTOTAL(109,PolsubTable14[Second Half])</f>
        <v>2842.67</v>
      </c>
      <c r="I4">
        <f>SUBTOTAL(109,PolsubTable14[Penalty])</f>
        <v>0</v>
      </c>
      <c r="J4">
        <f>SUBTOTAL(109,PolsubTable14[Paid First])</f>
        <v>2842.67</v>
      </c>
      <c r="K4">
        <f>SUBTOTAL(109,PolsubTable14[Paid Second])</f>
        <v>2842.67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orientation="landscape"/>
  <headerFooter differentOddEven="1" differentFirst="1">
    <oddHeader>&amp;CMADISON COUNTY 
Alternative Energy Distribution for: 61123-PLEASANT DARBY UNION CEME</oddHeader>
    <evenHeader>&amp;CMADISON COUNTY 
Alternative Energy Distribution for: 61123-PLEASANT DARBY UNION CEME</evenHeader>
    <firstHeader>&amp;CMADISON COUNTY 
Alternative Energy Distribution for: 61123-PLEASANT DARBY UNION CEME</firstHeader>
  </headerFooter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5"/>
  <sheetViews>
    <sheetView workbookViewId="0">
      <selection activeCell="G3" sqref="G3"/>
    </sheetView>
  </sheetViews>
  <sheetFormatPr defaultRowHeight="15" x14ac:dyDescent="0.25"/>
  <cols>
    <col min="1" max="1" width="20.28515625" customWidth="1"/>
    <col min="2" max="2" width="12" customWidth="1"/>
    <col min="3" max="3" width="18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17</v>
      </c>
      <c r="B3" t="s">
        <v>38</v>
      </c>
      <c r="C3" t="s">
        <v>36</v>
      </c>
      <c r="D3" s="1">
        <v>2.5</v>
      </c>
      <c r="E3" s="1">
        <v>0</v>
      </c>
      <c r="F3" s="1">
        <v>0</v>
      </c>
      <c r="G3" s="1">
        <v>7106.68</v>
      </c>
      <c r="H3" s="1">
        <v>7106.68</v>
      </c>
      <c r="I3" s="1">
        <v>0</v>
      </c>
      <c r="J3" s="1">
        <v>7106.68</v>
      </c>
      <c r="K3" s="1">
        <v>7106.68</v>
      </c>
    </row>
    <row r="4" spans="1:11" x14ac:dyDescent="0.25">
      <c r="A4" t="s">
        <v>17</v>
      </c>
      <c r="B4" t="s">
        <v>51</v>
      </c>
      <c r="C4" t="s">
        <v>36</v>
      </c>
      <c r="D4" s="1">
        <v>1.5</v>
      </c>
      <c r="E4" s="1">
        <v>0</v>
      </c>
      <c r="F4" s="1">
        <v>0</v>
      </c>
      <c r="G4" s="1">
        <v>4263.97</v>
      </c>
      <c r="H4" s="1">
        <v>4263.97</v>
      </c>
      <c r="I4" s="1">
        <v>0</v>
      </c>
      <c r="J4" s="1">
        <v>4263.97</v>
      </c>
      <c r="K4" s="1">
        <v>4263.97</v>
      </c>
    </row>
    <row r="5" spans="1:11" x14ac:dyDescent="0.25">
      <c r="A5" t="s">
        <v>15</v>
      </c>
      <c r="B5" t="s">
        <v>15</v>
      </c>
      <c r="C5" t="s">
        <v>15</v>
      </c>
      <c r="D5" t="s">
        <v>19</v>
      </c>
      <c r="E5">
        <f>SUBTOTAL(109,PolsubTable15[Interest])</f>
        <v>0</v>
      </c>
      <c r="F5">
        <f>SUBTOTAL(109,PolsubTable15[Delinquent])</f>
        <v>0</v>
      </c>
      <c r="G5">
        <f>SUBTOTAL(109,PolsubTable15[First Half])</f>
        <v>11370.650000000001</v>
      </c>
      <c r="H5">
        <f>SUBTOTAL(109,PolsubTable15[Second Half])</f>
        <v>11370.650000000001</v>
      </c>
      <c r="I5">
        <f>SUBTOTAL(109,PolsubTable15[Penalty])</f>
        <v>0</v>
      </c>
      <c r="J5">
        <f>SUBTOTAL(109,PolsubTable15[Paid First])</f>
        <v>11370.650000000001</v>
      </c>
      <c r="K5">
        <f>SUBTOTAL(109,PolsubTable15[Paid Second])</f>
        <v>11370.650000000001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orientation="landscape"/>
  <headerFooter differentOddEven="1" differentFirst="1">
    <oddHeader>&amp;CMADISON COUNTY 
Alternative Energy Distribution for: 61147-TRI-COUNTY JOINT FIRE DIS</oddHeader>
    <evenHeader>&amp;CMADISON COUNTY 
Alternative Energy Distribution for: 61147-TRI-COUNTY JOINT FIRE DIS</evenHeader>
    <firstHeader>&amp;CMADISON COUNTY 
Alternative Energy Distribution for: 61147-TRI-COUNTY JOINT FIRE DIS</firstHeader>
  </headerFooter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12"/>
  <sheetViews>
    <sheetView workbookViewId="0">
      <selection activeCell="G3" sqref="G3"/>
    </sheetView>
  </sheetViews>
  <sheetFormatPr defaultRowHeight="15" x14ac:dyDescent="0.25"/>
  <cols>
    <col min="1" max="1" width="20.28515625" customWidth="1"/>
    <col min="2" max="2" width="12" customWidth="1"/>
    <col min="3" max="3" width="18.1406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17</v>
      </c>
      <c r="B3" t="s">
        <v>15</v>
      </c>
      <c r="C3" t="s">
        <v>16</v>
      </c>
      <c r="D3" s="1">
        <v>0.9</v>
      </c>
      <c r="E3" s="1">
        <v>0</v>
      </c>
      <c r="F3" s="1">
        <v>0</v>
      </c>
      <c r="G3" s="1">
        <v>5504.61</v>
      </c>
      <c r="H3" s="1">
        <v>5504.61</v>
      </c>
      <c r="I3" s="1">
        <v>0</v>
      </c>
      <c r="J3" s="1">
        <v>5504.61</v>
      </c>
      <c r="K3" s="1">
        <v>5504.61</v>
      </c>
    </row>
    <row r="4" spans="1:11" x14ac:dyDescent="0.25">
      <c r="A4" t="s">
        <v>17</v>
      </c>
      <c r="B4" t="s">
        <v>15</v>
      </c>
      <c r="C4" t="s">
        <v>45</v>
      </c>
      <c r="D4" s="1">
        <v>0.5</v>
      </c>
      <c r="E4" s="1">
        <v>0</v>
      </c>
      <c r="F4" s="1">
        <v>0</v>
      </c>
      <c r="G4" s="1">
        <v>3058.1</v>
      </c>
      <c r="H4" s="1">
        <v>3058.1</v>
      </c>
      <c r="I4" s="1">
        <v>0</v>
      </c>
      <c r="J4" s="1">
        <v>3058.1</v>
      </c>
      <c r="K4" s="1">
        <v>3058.1</v>
      </c>
    </row>
    <row r="5" spans="1:11" x14ac:dyDescent="0.25">
      <c r="A5" t="s">
        <v>17</v>
      </c>
      <c r="B5" t="s">
        <v>52</v>
      </c>
      <c r="C5" t="s">
        <v>39</v>
      </c>
      <c r="D5" s="1">
        <v>1.7</v>
      </c>
      <c r="E5" s="1">
        <v>0</v>
      </c>
      <c r="F5" s="1">
        <v>0</v>
      </c>
      <c r="G5" s="1">
        <v>10397.6</v>
      </c>
      <c r="H5" s="1">
        <v>10397.6</v>
      </c>
      <c r="I5" s="1">
        <v>0</v>
      </c>
      <c r="J5" s="1">
        <v>10397.6</v>
      </c>
      <c r="K5" s="1">
        <v>10397.6</v>
      </c>
    </row>
    <row r="6" spans="1:11" x14ac:dyDescent="0.25">
      <c r="A6" t="s">
        <v>17</v>
      </c>
      <c r="B6" t="s">
        <v>53</v>
      </c>
      <c r="C6" t="s">
        <v>50</v>
      </c>
      <c r="D6" s="1">
        <v>1.2</v>
      </c>
      <c r="E6" s="1">
        <v>0</v>
      </c>
      <c r="F6" s="1">
        <v>0</v>
      </c>
      <c r="G6" s="1">
        <v>7339.49</v>
      </c>
      <c r="H6" s="1">
        <v>7339.49</v>
      </c>
      <c r="I6" s="1">
        <v>0</v>
      </c>
      <c r="J6" s="1">
        <v>7339.49</v>
      </c>
      <c r="K6" s="1">
        <v>7339.49</v>
      </c>
    </row>
    <row r="7" spans="1:11" x14ac:dyDescent="0.25">
      <c r="A7" t="s">
        <v>17</v>
      </c>
      <c r="B7" t="s">
        <v>32</v>
      </c>
      <c r="C7" t="s">
        <v>54</v>
      </c>
      <c r="D7" s="1">
        <v>0.5</v>
      </c>
      <c r="E7" s="1">
        <v>0</v>
      </c>
      <c r="F7" s="1">
        <v>0</v>
      </c>
      <c r="G7" s="1">
        <v>3058.12</v>
      </c>
      <c r="H7" s="1">
        <v>3058.12</v>
      </c>
      <c r="I7" s="1">
        <v>0</v>
      </c>
      <c r="J7" s="1">
        <v>3058.12</v>
      </c>
      <c r="K7" s="1">
        <v>3058.12</v>
      </c>
    </row>
    <row r="8" spans="1:11" x14ac:dyDescent="0.25">
      <c r="A8" t="s">
        <v>17</v>
      </c>
      <c r="B8" t="s">
        <v>55</v>
      </c>
      <c r="C8" t="s">
        <v>36</v>
      </c>
      <c r="D8" s="1">
        <v>0.3</v>
      </c>
      <c r="E8" s="1">
        <v>0</v>
      </c>
      <c r="F8" s="1">
        <v>0</v>
      </c>
      <c r="G8" s="1">
        <v>1834.87</v>
      </c>
      <c r="H8" s="1">
        <v>1834.87</v>
      </c>
      <c r="I8" s="1">
        <v>0</v>
      </c>
      <c r="J8" s="1">
        <v>1834.87</v>
      </c>
      <c r="K8" s="1">
        <v>1834.87</v>
      </c>
    </row>
    <row r="9" spans="1:11" x14ac:dyDescent="0.25">
      <c r="A9" t="s">
        <v>17</v>
      </c>
      <c r="B9" t="s">
        <v>56</v>
      </c>
      <c r="C9" t="s">
        <v>50</v>
      </c>
      <c r="D9" s="1">
        <v>0.7</v>
      </c>
      <c r="E9" s="1">
        <v>0</v>
      </c>
      <c r="F9" s="1">
        <v>0</v>
      </c>
      <c r="G9" s="1">
        <v>4281.37</v>
      </c>
      <c r="H9" s="1">
        <v>4281.37</v>
      </c>
      <c r="I9" s="1">
        <v>0</v>
      </c>
      <c r="J9" s="1">
        <v>4281.37</v>
      </c>
      <c r="K9" s="1">
        <v>4281.37</v>
      </c>
    </row>
    <row r="10" spans="1:11" x14ac:dyDescent="0.25">
      <c r="A10" t="s">
        <v>17</v>
      </c>
      <c r="B10" t="s">
        <v>57</v>
      </c>
      <c r="C10" t="s">
        <v>36</v>
      </c>
      <c r="D10" s="1">
        <v>0.5</v>
      </c>
      <c r="E10" s="1">
        <v>0</v>
      </c>
      <c r="F10" s="1">
        <v>0</v>
      </c>
      <c r="G10" s="1">
        <v>3058.12</v>
      </c>
      <c r="H10" s="1">
        <v>3058.12</v>
      </c>
      <c r="I10" s="1">
        <v>0</v>
      </c>
      <c r="J10" s="1">
        <v>3058.12</v>
      </c>
      <c r="K10" s="1">
        <v>3058.12</v>
      </c>
    </row>
    <row r="11" spans="1:11" x14ac:dyDescent="0.25">
      <c r="A11" t="s">
        <v>17</v>
      </c>
      <c r="B11" t="s">
        <v>48</v>
      </c>
      <c r="C11" t="s">
        <v>39</v>
      </c>
      <c r="D11" s="1">
        <v>0.6</v>
      </c>
      <c r="E11" s="1">
        <v>0</v>
      </c>
      <c r="F11" s="1">
        <v>0</v>
      </c>
      <c r="G11" s="1">
        <v>3669.74</v>
      </c>
      <c r="H11" s="1">
        <v>3669.74</v>
      </c>
      <c r="I11" s="1">
        <v>0</v>
      </c>
      <c r="J11" s="1">
        <v>3669.74</v>
      </c>
      <c r="K11" s="1">
        <v>3669.74</v>
      </c>
    </row>
    <row r="12" spans="1:11" x14ac:dyDescent="0.25">
      <c r="A12" t="s">
        <v>15</v>
      </c>
      <c r="B12" t="s">
        <v>15</v>
      </c>
      <c r="C12" t="s">
        <v>15</v>
      </c>
      <c r="D12" t="s">
        <v>19</v>
      </c>
      <c r="E12">
        <f>SUBTOTAL(109,PolsubTable16[Interest])</f>
        <v>0</v>
      </c>
      <c r="F12">
        <f>SUBTOTAL(109,PolsubTable16[Delinquent])</f>
        <v>0</v>
      </c>
      <c r="G12">
        <f>SUBTOTAL(109,PolsubTable16[First Half])</f>
        <v>42202.02</v>
      </c>
      <c r="H12">
        <f>SUBTOTAL(109,PolsubTable16[Second Half])</f>
        <v>42202.02</v>
      </c>
      <c r="I12">
        <f>SUBTOTAL(109,PolsubTable16[Penalty])</f>
        <v>0</v>
      </c>
      <c r="J12">
        <f>SUBTOTAL(109,PolsubTable16[Paid First])</f>
        <v>42202.02</v>
      </c>
      <c r="K12">
        <f>SUBTOTAL(109,PolsubTable16[Paid Second])</f>
        <v>42202.02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orientation="landscape"/>
  <headerFooter differentOddEven="1" differentFirst="1">
    <oddHeader>&amp;CMADISON COUNTY 
Alternative Energy Distribution for: 44410-RANGE TWP</oddHeader>
    <evenHeader>&amp;CMADISON COUNTY 
Alternative Energy Distribution for: 44410-RANGE TWP</evenHeader>
    <firstHeader>&amp;CMADISON COUNTY 
Alternative Energy Distribution for: 44410-RANGE TWP</firstHeader>
  </headerFooter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7"/>
  <sheetViews>
    <sheetView workbookViewId="0">
      <selection activeCell="K7" sqref="K7"/>
    </sheetView>
  </sheetViews>
  <sheetFormatPr defaultRowHeight="15" x14ac:dyDescent="0.25"/>
  <cols>
    <col min="1" max="1" width="19.85546875" customWidth="1"/>
    <col min="2" max="2" width="12" customWidth="1"/>
    <col min="3" max="3" width="15.1406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14</v>
      </c>
      <c r="B3" t="s">
        <v>15</v>
      </c>
      <c r="C3" t="s">
        <v>16</v>
      </c>
      <c r="D3" s="1">
        <v>1.4</v>
      </c>
      <c r="E3" s="1">
        <v>0</v>
      </c>
      <c r="F3" s="1">
        <v>0</v>
      </c>
      <c r="G3" s="1">
        <v>22418.3</v>
      </c>
      <c r="H3" s="1">
        <v>0</v>
      </c>
      <c r="I3" s="1">
        <v>0</v>
      </c>
      <c r="J3" s="1">
        <v>22418.3</v>
      </c>
      <c r="K3" s="1">
        <v>0</v>
      </c>
    </row>
    <row r="4" spans="1:11" x14ac:dyDescent="0.25">
      <c r="A4" t="s">
        <v>14</v>
      </c>
      <c r="B4" t="s">
        <v>24</v>
      </c>
      <c r="C4" t="s">
        <v>58</v>
      </c>
      <c r="D4" s="1">
        <v>4.5</v>
      </c>
      <c r="E4" s="1">
        <v>0</v>
      </c>
      <c r="F4" s="1">
        <v>0</v>
      </c>
      <c r="G4" s="1">
        <v>72058.820000000007</v>
      </c>
      <c r="H4" s="1">
        <v>0</v>
      </c>
      <c r="I4" s="1">
        <v>0</v>
      </c>
      <c r="J4" s="1">
        <v>72058.820000000007</v>
      </c>
      <c r="K4" s="1">
        <v>0</v>
      </c>
    </row>
    <row r="5" spans="1:11" x14ac:dyDescent="0.25">
      <c r="A5" t="s">
        <v>14</v>
      </c>
      <c r="B5" t="s">
        <v>29</v>
      </c>
      <c r="C5" t="s">
        <v>59</v>
      </c>
      <c r="D5" s="1">
        <v>0.25</v>
      </c>
      <c r="E5" s="1">
        <v>0</v>
      </c>
      <c r="F5" s="1">
        <v>0</v>
      </c>
      <c r="G5" s="1">
        <v>4003.27</v>
      </c>
      <c r="H5" s="1">
        <v>0</v>
      </c>
      <c r="I5" s="1">
        <v>0</v>
      </c>
      <c r="J5" s="1">
        <v>4003.27</v>
      </c>
      <c r="K5" s="1">
        <v>0</v>
      </c>
    </row>
    <row r="6" spans="1:11" x14ac:dyDescent="0.25">
      <c r="A6" t="s">
        <v>14</v>
      </c>
      <c r="B6" t="s">
        <v>60</v>
      </c>
      <c r="C6" t="s">
        <v>58</v>
      </c>
      <c r="D6" s="1">
        <v>1.5</v>
      </c>
      <c r="E6" s="1">
        <v>0</v>
      </c>
      <c r="F6" s="1">
        <v>0</v>
      </c>
      <c r="G6" s="1">
        <v>24019.61</v>
      </c>
      <c r="H6" s="1">
        <v>0</v>
      </c>
      <c r="I6" s="1">
        <v>0</v>
      </c>
      <c r="J6" s="1">
        <v>24019.61</v>
      </c>
      <c r="K6" s="1">
        <v>0</v>
      </c>
    </row>
    <row r="7" spans="1:11" x14ac:dyDescent="0.25">
      <c r="D7" t="s">
        <v>19</v>
      </c>
      <c r="E7">
        <f>SUBTOTAL(109,PolsubTable17[Interest])</f>
        <v>0</v>
      </c>
      <c r="F7">
        <f>SUBTOTAL(109,PolsubTable17[Delinquent])</f>
        <v>0</v>
      </c>
      <c r="G7">
        <f>SUBTOTAL(109,PolsubTable17[First Half])</f>
        <v>122500.00000000001</v>
      </c>
      <c r="H7">
        <f>SUBTOTAL(109,PolsubTable17[Second Half])</f>
        <v>0</v>
      </c>
      <c r="I7">
        <f>SUBTOTAL(109,PolsubTable17[Penalty])</f>
        <v>0</v>
      </c>
      <c r="J7">
        <f>SUBTOTAL(109,PolsubTable17[Paid First])</f>
        <v>122500.00000000001</v>
      </c>
      <c r="K7">
        <f>SUBTOTAL(109,PolsubTable17[Paid Second])</f>
        <v>0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scale="91" orientation="landscape" r:id="rId1"/>
  <headerFooter differentOddEven="1" differentFirst="1">
    <oddHeader>&amp;CMADISON COUNTY 
Alternative Energy Distribution for: 41734-FAIRFIELD TWP</oddHeader>
    <evenHeader>&amp;CMADISON COUNTY 
Alternative Energy Distribution for: 41734-FAIRFIELD TWP</evenHeader>
    <firstHeader>&amp;CMADISON COUNTY 
Alternative Energy Distribution for: 41734-FAIRFIELD TWP</firstHead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"/>
  <sheetViews>
    <sheetView workbookViewId="0">
      <selection activeCell="G3" sqref="G3"/>
    </sheetView>
  </sheetViews>
  <sheetFormatPr defaultRowHeight="15" x14ac:dyDescent="0.25"/>
  <cols>
    <col min="1" max="1" width="30.85546875" customWidth="1"/>
    <col min="2" max="2" width="12" customWidth="1"/>
    <col min="3" max="3" width="23.57031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18</v>
      </c>
      <c r="B3" t="s">
        <v>15</v>
      </c>
      <c r="C3" t="s">
        <v>16</v>
      </c>
      <c r="D3" s="1">
        <v>4.9000000000000004</v>
      </c>
      <c r="E3" s="1">
        <v>0</v>
      </c>
      <c r="F3" s="1">
        <v>0</v>
      </c>
      <c r="G3" s="1">
        <v>56106.87</v>
      </c>
      <c r="H3" s="1">
        <v>56106.87</v>
      </c>
      <c r="I3" s="1">
        <v>0</v>
      </c>
      <c r="J3" s="1">
        <v>112213.74</v>
      </c>
      <c r="K3" s="1">
        <v>0</v>
      </c>
    </row>
    <row r="4" spans="1:11" x14ac:dyDescent="0.25">
      <c r="A4" t="s">
        <v>18</v>
      </c>
      <c r="B4" t="s">
        <v>21</v>
      </c>
      <c r="C4" t="s">
        <v>36</v>
      </c>
      <c r="D4" s="1">
        <v>19.3</v>
      </c>
      <c r="E4" s="1">
        <v>0</v>
      </c>
      <c r="F4" s="1">
        <v>0</v>
      </c>
      <c r="G4" s="1">
        <v>220992.37</v>
      </c>
      <c r="H4" s="1">
        <v>220992.37</v>
      </c>
      <c r="I4" s="1">
        <v>0</v>
      </c>
      <c r="J4" s="1">
        <v>441984.74</v>
      </c>
      <c r="K4" s="1">
        <v>0</v>
      </c>
    </row>
    <row r="5" spans="1:11" x14ac:dyDescent="0.25">
      <c r="A5" t="s">
        <v>18</v>
      </c>
      <c r="B5" t="s">
        <v>61</v>
      </c>
      <c r="C5" t="s">
        <v>36</v>
      </c>
      <c r="D5" s="1">
        <v>8</v>
      </c>
      <c r="E5" s="1">
        <v>0</v>
      </c>
      <c r="F5" s="1">
        <v>0</v>
      </c>
      <c r="G5" s="1">
        <v>91603.05</v>
      </c>
      <c r="H5" s="1">
        <v>91603.05</v>
      </c>
      <c r="I5" s="1">
        <v>0</v>
      </c>
      <c r="J5" s="1">
        <v>183206.1</v>
      </c>
      <c r="K5" s="1">
        <v>0</v>
      </c>
    </row>
    <row r="6" spans="1:11" x14ac:dyDescent="0.25">
      <c r="A6" t="s">
        <v>18</v>
      </c>
      <c r="B6" t="s">
        <v>32</v>
      </c>
      <c r="C6" t="s">
        <v>62</v>
      </c>
      <c r="D6" s="1">
        <v>1.25</v>
      </c>
      <c r="E6" s="1">
        <v>0</v>
      </c>
      <c r="F6" s="1">
        <v>0</v>
      </c>
      <c r="G6" s="1">
        <v>14312.98</v>
      </c>
      <c r="H6" s="1">
        <v>14312.98</v>
      </c>
      <c r="I6" s="1">
        <v>0</v>
      </c>
      <c r="J6" s="1">
        <v>28625.96</v>
      </c>
      <c r="K6" s="1">
        <v>0</v>
      </c>
    </row>
    <row r="7" spans="1:11" x14ac:dyDescent="0.25">
      <c r="A7" t="s">
        <v>18</v>
      </c>
      <c r="B7" t="s">
        <v>63</v>
      </c>
      <c r="C7" t="s">
        <v>64</v>
      </c>
      <c r="D7" s="1">
        <v>4.0999999999999996</v>
      </c>
      <c r="E7" s="1">
        <v>0</v>
      </c>
      <c r="F7" s="1">
        <v>0</v>
      </c>
      <c r="G7" s="1">
        <v>46946.559999999998</v>
      </c>
      <c r="H7" s="1">
        <v>46946.559999999998</v>
      </c>
      <c r="I7" s="1">
        <v>0</v>
      </c>
      <c r="J7" s="1">
        <v>93893.119999999995</v>
      </c>
      <c r="K7" s="1">
        <v>0</v>
      </c>
    </row>
    <row r="8" spans="1:11" x14ac:dyDescent="0.25">
      <c r="A8" t="s">
        <v>15</v>
      </c>
      <c r="B8" t="s">
        <v>15</v>
      </c>
      <c r="C8" t="s">
        <v>15</v>
      </c>
      <c r="D8" t="s">
        <v>19</v>
      </c>
      <c r="E8">
        <f>SUBTOTAL(109,PolsubTable18[Interest])</f>
        <v>0</v>
      </c>
      <c r="F8">
        <f>SUBTOTAL(109,PolsubTable18[Delinquent])</f>
        <v>0</v>
      </c>
      <c r="G8">
        <f>SUBTOTAL(109,PolsubTable18[First Half])</f>
        <v>429961.82999999996</v>
      </c>
      <c r="H8">
        <f>SUBTOTAL(109,PolsubTable18[Second Half])</f>
        <v>429961.82999999996</v>
      </c>
      <c r="I8">
        <f>SUBTOTAL(109,PolsubTable18[Penalty])</f>
        <v>0</v>
      </c>
      <c r="J8">
        <f>SUBTOTAL(109,PolsubTable18[Paid First])</f>
        <v>859923.65999999992</v>
      </c>
      <c r="K8">
        <f>SUBTOTAL(109,PolsubTable18[Paid Second])</f>
        <v>0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orientation="landscape"/>
  <headerFooter differentOddEven="1" differentFirst="1">
    <oddHeader>&amp;CMADISON COUNTY 
Alternative Energy Distribution for: 21700-FAIRBANKS LSD</oddHeader>
    <evenHeader>&amp;CMADISON COUNTY 
Alternative Energy Distribution for: 21700-FAIRBANKS LSD</evenHeader>
    <firstHeader>&amp;CMADISON COUNTY 
Alternative Energy Distribution for: 21700-FAIRBANKS LSD</firstHeader>
  </headerFooter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6"/>
  <sheetViews>
    <sheetView workbookViewId="0">
      <selection activeCell="G3" sqref="G3"/>
    </sheetView>
  </sheetViews>
  <sheetFormatPr defaultRowHeight="15" x14ac:dyDescent="0.25"/>
  <cols>
    <col min="1" max="1" width="30.85546875" customWidth="1"/>
    <col min="2" max="2" width="12" customWidth="1"/>
    <col min="3" max="3" width="15.140625" customWidth="1"/>
    <col min="4" max="4" width="13.85546875" customWidth="1"/>
    <col min="5" max="5" width="10.5703125" customWidth="1"/>
    <col min="6" max="6" width="13.42578125" customWidth="1"/>
    <col min="7" max="7" width="11.42578125" customWidth="1"/>
    <col min="8" max="8" width="14" customWidth="1"/>
    <col min="9" max="9" width="10.140625" customWidth="1"/>
    <col min="10" max="10" width="11.7109375" customWidth="1"/>
    <col min="11" max="11" width="14.28515625" customWidth="1"/>
  </cols>
  <sheetData>
    <row r="1" spans="1:11" ht="18.75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 t="s">
        <v>2</v>
      </c>
      <c r="K1" s="2"/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5">
      <c r="A3" t="s">
        <v>18</v>
      </c>
      <c r="B3" t="s">
        <v>15</v>
      </c>
      <c r="C3" t="s">
        <v>16</v>
      </c>
      <c r="D3" s="1">
        <v>1.6</v>
      </c>
      <c r="E3" s="1">
        <v>0</v>
      </c>
      <c r="F3" s="1">
        <v>0</v>
      </c>
      <c r="G3" s="1">
        <v>18320.61</v>
      </c>
      <c r="H3" s="1">
        <v>18320.61</v>
      </c>
      <c r="I3" s="1">
        <v>0</v>
      </c>
      <c r="J3" s="1">
        <v>36641.22</v>
      </c>
      <c r="K3" s="1">
        <v>0</v>
      </c>
    </row>
    <row r="4" spans="1:11" x14ac:dyDescent="0.25">
      <c r="A4" t="s">
        <v>18</v>
      </c>
      <c r="B4" t="s">
        <v>26</v>
      </c>
      <c r="C4" t="s">
        <v>58</v>
      </c>
      <c r="D4" s="1">
        <v>2.88</v>
      </c>
      <c r="E4" s="1">
        <v>0</v>
      </c>
      <c r="F4" s="1">
        <v>0</v>
      </c>
      <c r="G4" s="1">
        <v>32977.1</v>
      </c>
      <c r="H4" s="1">
        <v>32977.1</v>
      </c>
      <c r="I4" s="1">
        <v>0</v>
      </c>
      <c r="J4" s="1">
        <v>65954.2</v>
      </c>
      <c r="K4" s="1">
        <v>0</v>
      </c>
    </row>
    <row r="5" spans="1:11" x14ac:dyDescent="0.25">
      <c r="A5" t="s">
        <v>18</v>
      </c>
      <c r="B5" t="s">
        <v>34</v>
      </c>
      <c r="C5" t="s">
        <v>58</v>
      </c>
      <c r="D5" s="1">
        <v>0.24</v>
      </c>
      <c r="E5" s="1">
        <v>0</v>
      </c>
      <c r="F5" s="1">
        <v>0</v>
      </c>
      <c r="G5" s="1">
        <v>2748.08</v>
      </c>
      <c r="H5" s="1">
        <v>2748.08</v>
      </c>
      <c r="I5" s="1">
        <v>0</v>
      </c>
      <c r="J5" s="1">
        <v>5496.16</v>
      </c>
      <c r="K5" s="1">
        <v>0</v>
      </c>
    </row>
    <row r="6" spans="1:11" x14ac:dyDescent="0.25">
      <c r="A6" t="s">
        <v>15</v>
      </c>
      <c r="B6" t="s">
        <v>15</v>
      </c>
      <c r="C6" t="s">
        <v>15</v>
      </c>
      <c r="D6" t="s">
        <v>19</v>
      </c>
      <c r="E6">
        <f>SUBTOTAL(109,PolsubTable19[Interest])</f>
        <v>0</v>
      </c>
      <c r="F6">
        <f>SUBTOTAL(109,PolsubTable19[Delinquent])</f>
        <v>0</v>
      </c>
      <c r="G6">
        <f>SUBTOTAL(109,PolsubTable19[First Half])</f>
        <v>54045.79</v>
      </c>
      <c r="H6">
        <f>SUBTOTAL(109,PolsubTable19[Second Half])</f>
        <v>54045.79</v>
      </c>
      <c r="I6">
        <f>SUBTOTAL(109,PolsubTable19[Penalty])</f>
        <v>0</v>
      </c>
      <c r="J6">
        <f>SUBTOTAL(109,PolsubTable19[Paid First])</f>
        <v>108091.58</v>
      </c>
      <c r="K6">
        <f>SUBTOTAL(109,PolsubTable19[Paid Second])</f>
        <v>0</v>
      </c>
    </row>
  </sheetData>
  <mergeCells count="3">
    <mergeCell ref="A1:D1"/>
    <mergeCell ref="E1:I1"/>
    <mergeCell ref="J1:K1"/>
  </mergeCells>
  <pageMargins left="0.25" right="0.25" top="0.748" bottom="0.75" header="0.315" footer="0.315"/>
  <pageSetup orientation="landscape"/>
  <headerFooter differentOddEven="1" differentFirst="1">
    <oddHeader>&amp;CMADISON COUNTY 
Alternative Energy Distribution for: 44215-PIKE TWP</oddHeader>
    <evenHeader>&amp;CMADISON COUNTY 
Alternative Energy Distribution for: 44215-PIKE TWP</evenHeader>
    <firstHeader>&amp;CMADISON COUNTY 
Alternative Energy Distribution for: 44215-PIKE TWP</firstHead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10490-MADISON COUNTY</vt:lpstr>
      <vt:lpstr>104901-VETERANS RELIEF</vt:lpstr>
      <vt:lpstr>104902-MAD CO BD OF DEVELOPMENT</vt:lpstr>
      <vt:lpstr>104903-HEALTH SERVICES</vt:lpstr>
      <vt:lpstr>104904-MENTAL HEALTH &amp; RECOVERY</vt:lpstr>
      <vt:lpstr>104906-SENIOR CITIZENS</vt:lpstr>
      <vt:lpstr>104905-9-1-1</vt:lpstr>
      <vt:lpstr>30070-TOLLES CAREER &amp; TECHNICAL</vt:lpstr>
      <vt:lpstr>60440-MADISON CO. EMERGENCY MED</vt:lpstr>
      <vt:lpstr>61201-CENTRAL TWP JNT FIRE DIST</vt:lpstr>
      <vt:lpstr>23130-MADISON PLAINS LSD</vt:lpstr>
      <vt:lpstr>43900-OAK RUN TWP</vt:lpstr>
      <vt:lpstr>44259-PLEASANT TWP</vt:lpstr>
      <vt:lpstr>60680-STERLING JOINT AMBULANCE </vt:lpstr>
      <vt:lpstr>61123-PLEASANT DARBY UNION CEME</vt:lpstr>
      <vt:lpstr>61147-TRI-COUNTY JOINT FIRE DIS</vt:lpstr>
      <vt:lpstr>44410-RANGE TWP</vt:lpstr>
      <vt:lpstr>41734-FAIRFIELD TWP</vt:lpstr>
      <vt:lpstr>21700-FAIRBANKS LSD</vt:lpstr>
      <vt:lpstr>44215-PIKE TWP</vt:lpstr>
      <vt:lpstr>'104901-VETERANS RELIEF'!Print_Titles</vt:lpstr>
      <vt:lpstr>'104902-MAD CO BD OF DEVELOPMENT'!Print_Titles</vt:lpstr>
      <vt:lpstr>'104903-HEALTH SERVICES'!Print_Titles</vt:lpstr>
      <vt:lpstr>'104904-MENTAL HEALTH &amp; RECOVERY'!Print_Titles</vt:lpstr>
      <vt:lpstr>'104905-9-1-1'!Print_Titles</vt:lpstr>
      <vt:lpstr>'104906-SENIOR CITIZENS'!Print_Titles</vt:lpstr>
      <vt:lpstr>'10490-MADISON COUNTY'!Print_Titles</vt:lpstr>
      <vt:lpstr>'21700-FAIRBANKS LSD'!Print_Titles</vt:lpstr>
      <vt:lpstr>'23130-MADISON PLAINS LSD'!Print_Titles</vt:lpstr>
      <vt:lpstr>'30070-TOLLES CAREER &amp; TECHNICAL'!Print_Titles</vt:lpstr>
      <vt:lpstr>'41734-FAIRFIELD TWP'!Print_Titles</vt:lpstr>
      <vt:lpstr>'43900-OAK RUN TWP'!Print_Titles</vt:lpstr>
      <vt:lpstr>'44215-PIKE TWP'!Print_Titles</vt:lpstr>
      <vt:lpstr>'44259-PLEASANT TWP'!Print_Titles</vt:lpstr>
      <vt:lpstr>'44410-RANGE TWP'!Print_Titles</vt:lpstr>
      <vt:lpstr>'60440-MADISON CO. EMERGENCY MED'!Print_Titles</vt:lpstr>
      <vt:lpstr>'60680-STERLING JOINT AMBULANCE '!Print_Titles</vt:lpstr>
      <vt:lpstr>'61123-PLEASANT DARBY UNION CEME'!Print_Titles</vt:lpstr>
      <vt:lpstr>'61147-TRI-COUNTY JOINT FIRE DIS'!Print_Titles</vt:lpstr>
      <vt:lpstr>'61201-CENTRAL TWP JNT FIRE DIST'!Print_Titles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Amanda.Russell</cp:lastModifiedBy>
  <cp:lastPrinted>2026-08-12T14:35:26Z</cp:lastPrinted>
  <dcterms:modified xsi:type="dcterms:W3CDTF">2026-08-12T14:39:19Z</dcterms:modified>
</cp:coreProperties>
</file>