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10490-MADISON COUNTY" sheetId="1" r:id="rId2"/>
    <sheet name="104901-VETERANS RELIEF" sheetId="2" r:id="rId3"/>
    <sheet name="104902-MAD CO BD OF DEVELOPMENT" sheetId="3" r:id="rId4"/>
    <sheet name="104903-HEALTH SERVICES" sheetId="4" r:id="rId5"/>
    <sheet name="104904-MENTAL HEALTH &amp; RECOVERY" sheetId="5" r:id="rId6"/>
    <sheet name="104906-SENIOR CITIZENS" sheetId="6" r:id="rId7"/>
    <sheet name="104905-9-1-1" sheetId="7" r:id="rId8"/>
    <sheet name="30070-TOLLES CAREER &amp; TECHNICAL" sheetId="8" r:id="rId9"/>
    <sheet name="60440-MADISON CO. EMERGENCY MED" sheetId="9" r:id="rId10"/>
    <sheet name="61201-CENTRAL TWP JNT FIRE DIST" sheetId="10" r:id="rId11"/>
    <sheet name="23130-MADISON PLAINS LSD" sheetId="11" r:id="rId12"/>
    <sheet name="43900-OAK RUN TWP" sheetId="12" r:id="rId13"/>
    <sheet name="44259-PLEASANT TWP" sheetId="13" r:id="rId14"/>
    <sheet name="60680-STERLING JOINT AMBULANCE " sheetId="14" r:id="rId15"/>
    <sheet name="61123-PLEASANT DARBY UNION CEME" sheetId="15" r:id="rId16"/>
    <sheet name="61147-TRI-COUNTY JOINT FIRE DIS" sheetId="16" r:id="rId17"/>
    <sheet name="41734-FAIRFIELD TWP" sheetId="17" r:id="rId18"/>
    <sheet name="21700-FAIRBANKS LSD" sheetId="18" r:id="rId19"/>
    <sheet name="44215-PIKE TWP" sheetId="19" r:id="rId20"/>
  </sheets>
  <definedNames>
    <definedName name="_xlnm.Print_Titles" localSheetId="0">'10490-MADISON COUNTY'!$2:$2</definedName>
    <definedName name="_xlnm.Print_Titles" localSheetId="1">'104901-VETERANS RELIEF'!$2:$2</definedName>
    <definedName name="_xlnm.Print_Titles" localSheetId="2">'104902-MAD CO BD OF DEVELOPMENT'!$2:$2</definedName>
    <definedName name="_xlnm.Print_Titles" localSheetId="3">'104903-HEALTH SERVICES'!$2:$2</definedName>
    <definedName name="_xlnm.Print_Titles" localSheetId="4">'104904-MENTAL HEALTH &amp; RECOVERY'!$2:$2</definedName>
    <definedName name="_xlnm.Print_Titles" localSheetId="5">'104906-SENIOR CITIZENS'!$2:$2</definedName>
    <definedName name="_xlnm.Print_Titles" localSheetId="6">'104905-9-1-1'!$2:$2</definedName>
    <definedName name="_xlnm.Print_Titles" localSheetId="7">'30070-TOLLES CAREER &amp; TECHNICAL'!$2:$2</definedName>
    <definedName name="_xlnm.Print_Titles" localSheetId="8">'60440-MADISON CO. EMERGENCY MED'!$2:$2</definedName>
    <definedName name="_xlnm.Print_Titles" localSheetId="9">'61201-CENTRAL TWP JNT FIRE DIST'!$2:$2</definedName>
    <definedName name="_xlnm.Print_Titles" localSheetId="10">'23130-MADISON PLAINS LSD'!$2:$2</definedName>
    <definedName name="_xlnm.Print_Titles" localSheetId="11">'43900-OAK RUN TWP'!$2:$2</definedName>
    <definedName name="_xlnm.Print_Titles" localSheetId="12">'44259-PLEASANT TWP'!$2:$2</definedName>
    <definedName name="_xlnm.Print_Titles" localSheetId="13">'60680-STERLING JOINT AMBULANCE '!$2:$2</definedName>
    <definedName name="_xlnm.Print_Titles" localSheetId="14">'61123-PLEASANT DARBY UNION CEME'!$2:$2</definedName>
    <definedName name="_xlnm.Print_Titles" localSheetId="15">'61147-TRI-COUNTY JOINT FIRE DIS'!$2:$2</definedName>
    <definedName name="_xlnm.Print_Titles" localSheetId="16">'41734-FAIRFIELD TWP'!$2:$2</definedName>
    <definedName name="_xlnm.Print_Titles" localSheetId="17">'21700-FAIRBANKS LSD'!$2:$2</definedName>
    <definedName name="_xlnm.Print_Titles" localSheetId="18">'44215-PIKE TWP'!$2:$2</definedName>
  </definedNames>
  <calcPr fullCalcOnLoad="1"/>
</workbook>
</file>

<file path=xl/sharedStrings.xml><?xml version="1.0" encoding="utf-8"?>
<sst xmlns="http://schemas.openxmlformats.org/spreadsheetml/2006/main" count="58" uniqueCount="58">
  <si>
    <t>Project/Levy</t>
  </si>
  <si>
    <t>Charges</t>
  </si>
  <si>
    <t>Distributions</t>
  </si>
  <si>
    <t>Project</t>
  </si>
  <si>
    <t>Levy Year</t>
  </si>
  <si>
    <t>Levy Name</t>
  </si>
  <si>
    <t>Whole Rate</t>
  </si>
  <si>
    <t>Interest</t>
  </si>
  <si>
    <t>Delinquent</t>
  </si>
  <si>
    <t>First Half</t>
  </si>
  <si>
    <t>Second Half</t>
  </si>
  <si>
    <t>Penalty</t>
  </si>
  <si>
    <t>Paid First</t>
  </si>
  <si>
    <t>Paid Second</t>
  </si>
  <si>
    <t>BIG PLAIN SOLAR LLC</t>
  </si>
  <si>
    <t/>
  </si>
  <si>
    <t>GENERAL FUND</t>
  </si>
  <si>
    <t>FOX SQUIRREL PH I SOLAR</t>
  </si>
  <si>
    <t>MADISON FIELDS SOLAR PROJECT</t>
  </si>
  <si>
    <t>Totals:</t>
  </si>
  <si>
    <t>VETERANS RELIEF</t>
  </si>
  <si>
    <t>1976</t>
  </si>
  <si>
    <t>MRDD</t>
  </si>
  <si>
    <t>1982</t>
  </si>
  <si>
    <t>2005</t>
  </si>
  <si>
    <t>DEVELOPMENTAL DISABILITIES</t>
  </si>
  <si>
    <t>2008</t>
  </si>
  <si>
    <t>2001</t>
  </si>
  <si>
    <t>HEALTH SERVICES</t>
  </si>
  <si>
    <t>2020</t>
  </si>
  <si>
    <t>2004</t>
  </si>
  <si>
    <t>MENTAL HEALTH &amp; RECOVERY SVCS</t>
  </si>
  <si>
    <t>2006</t>
  </si>
  <si>
    <t>SENIOR CITIZENS</t>
  </si>
  <si>
    <t>2018</t>
  </si>
  <si>
    <t>9-1-1 SYSTEM</t>
  </si>
  <si>
    <t>CURRENT EXPENSE</t>
  </si>
  <si>
    <t>2017</t>
  </si>
  <si>
    <t>2022</t>
  </si>
  <si>
    <t>FIRE</t>
  </si>
  <si>
    <t>1994</t>
  </si>
  <si>
    <t>1995</t>
  </si>
  <si>
    <t>1998</t>
  </si>
  <si>
    <t>PERMANENT IMPROVEMENT</t>
  </si>
  <si>
    <t>2003</t>
  </si>
  <si>
    <t>ROAD AND BRIDGE</t>
  </si>
  <si>
    <t>CURRENT EXPENSE LIBRARY</t>
  </si>
  <si>
    <t>2012</t>
  </si>
  <si>
    <t>2024</t>
  </si>
  <si>
    <t>2015</t>
  </si>
  <si>
    <t>CEMETERY</t>
  </si>
  <si>
    <t>2023</t>
  </si>
  <si>
    <t>FIRE &amp; E.M.S.</t>
  </si>
  <si>
    <t>FIRE &amp; E.M.S</t>
  </si>
  <si>
    <t>1985</t>
  </si>
  <si>
    <t>BOND ($11,460,066)</t>
  </si>
  <si>
    <t>2009</t>
  </si>
  <si>
    <t>SUBSTITUTE RC 5705.199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</si>
</sst>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b/>
      <sz val="14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472C4" tint="0"/>
      </patternFill>
    </fill>
  </fills>
  <borders count="2">
    <border>
      <left/>
      <right/>
      <top/>
      <bottom/>
      <diagonal/>
    </border>
    <border>
      <left/>
      <right style="thin">
        <color rgb="FF8EA9DB" tint="0"/>
      </right>
      <top/>
      <bottom/>
      <diagonal/>
    </border>
  </borders>
  <cellStyleXfs count="2">
    <xf numFmtId="0" fontId="0"/>
    <xf numFmtId="0" fontId="1" fillId="2" borderId="1">
      <alignment horizontal="center"/>
    </xf>
  </cellStyleXfs>
  <cellXfs count="3">
    <xf numFmtId="0" applyNumberFormat="1" fontId="0" applyFont="1" xfId="0" applyProtection="1"/>
    <xf numFmtId="0" applyNumberFormat="1" fontId="1" applyFont="1" fillId="2" applyFill="1" borderId="1" applyBorder="1" xfId="1" applyProtection="1" applyAlignment="1">
      <alignment horizontal="center"/>
    </xf>
    <xf numFmtId="4" applyNumberFormat="1" fontId="0" applyFont="1" xfId="0" applyProtection="1"/>
  </cellXfs>
  <cellStyles count="2">
    <cellStyle name="Normal" xfId="0" builtinId="0"/>
    <cellStyle name="Header Category Style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PolsubTable0" displayName="PolsubTable0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PolsubTable9" displayName="PolsubTable9" ref="A2:K5" headerRowCount="1" totalsRowCount="1">
  <autoFilter ref="A2:K4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PolsubTable10" displayName="PolsubTable10" ref="A2:K17" headerRowCount="1" totalsRowCount="1">
  <autoFilter ref="A2:K16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PolsubTable11" displayName="PolsubTable11" ref="A2:K5" headerRowCount="1" totalsRowCount="1">
  <autoFilter ref="A2:K4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PolsubTable12" displayName="PolsubTable12" ref="A2:K7" headerRowCount="1" totalsRowCount="1">
  <autoFilter ref="A2:K6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PolsubTable13" displayName="PolsubTable13" ref="A2:K7" headerRowCount="1" totalsRowCount="1">
  <autoFilter ref="A2:K6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5" name="PolsubTable14" displayName="PolsubTable14" ref="A2:K4" headerRowCount="1" totalsRowCount="1">
  <autoFilter ref="A2:K3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6" name="PolsubTable15" displayName="PolsubTable15" ref="A2:K5" headerRowCount="1" totalsRowCount="1">
  <autoFilter ref="A2:K4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7" name="PolsubTable16" displayName="PolsubTable16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PolsubTable17" displayName="PolsubTable17" ref="A2:K8" headerRowCount="1" totalsRowCount="1">
  <autoFilter ref="A2:K7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19" name="PolsubTable18" displayName="PolsubTable18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olsubTable1" displayName="PolsubTable1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PolsubTable2" displayName="PolsubTable2" ref="A2:K18" headerRowCount="1" totalsRowCount="1">
  <autoFilter ref="A2:K17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PolsubTable3" displayName="PolsubTable3" ref="A2:K9" headerRowCount="1" totalsRowCount="1">
  <autoFilter ref="A2:K8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PolsubTable4" displayName="PolsubTable4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PolsubTable5" displayName="PolsubTable5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PolsubTable6" displayName="PolsubTable6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PolsubTable7" displayName="PolsubTable7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PolsubTable8" displayName="PolsubTable8" ref="A2:K7" headerRowCount="1" totalsRowCount="1">
  <autoFilter ref="A2:K6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15.188272476196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15</v>
      </c>
      <c r="C3" s="0" t="s">
        <v>16</v>
      </c>
      <c r="D3" s="2">
        <v>3</v>
      </c>
      <c r="E3" s="2">
        <v>0</v>
      </c>
      <c r="F3" s="2">
        <v>0</v>
      </c>
      <c r="G3" s="2">
        <v>30341.1</v>
      </c>
      <c r="H3" s="2">
        <v>30341.1</v>
      </c>
      <c r="I3" s="2">
        <v>0</v>
      </c>
      <c r="J3" s="2">
        <v>60682.2</v>
      </c>
      <c r="K3" s="2">
        <v>0</v>
      </c>
    </row>
    <row r="4">
      <c r="A4" s="0" t="s">
        <v>17</v>
      </c>
      <c r="B4" s="0" t="s">
        <v>15</v>
      </c>
      <c r="C4" s="0" t="s">
        <v>16</v>
      </c>
      <c r="D4" s="2">
        <v>3</v>
      </c>
      <c r="E4" s="2">
        <v>0</v>
      </c>
      <c r="F4" s="2">
        <v>0</v>
      </c>
      <c r="G4" s="2">
        <v>21843.75</v>
      </c>
      <c r="H4" s="2">
        <v>21843.75</v>
      </c>
      <c r="I4" s="2">
        <v>0</v>
      </c>
      <c r="J4" s="2">
        <v>22218.23</v>
      </c>
      <c r="K4" s="2">
        <v>0</v>
      </c>
    </row>
    <row r="5">
      <c r="A5" s="0" t="s">
        <v>18</v>
      </c>
      <c r="B5" s="0" t="s">
        <v>15</v>
      </c>
      <c r="C5" s="0" t="s">
        <v>16</v>
      </c>
      <c r="D5" s="2">
        <v>3</v>
      </c>
      <c r="E5" s="2">
        <v>0</v>
      </c>
      <c r="F5" s="2">
        <v>0</v>
      </c>
      <c r="G5" s="2">
        <v>33798.28</v>
      </c>
      <c r="H5" s="2">
        <v>33798.28</v>
      </c>
      <c r="I5" s="2">
        <v>0</v>
      </c>
      <c r="J5" s="2">
        <v>67596.56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SUBTOTAL(109,PolsubTable0[Interest])</f>
      </c>
      <c r="F6" s="0">
        <f>SUBTOTAL(109,PolsubTable0[Delinquent])</f>
      </c>
      <c r="G6" s="0">
        <f>SUBTOTAL(109,PolsubTable0[First Half])</f>
      </c>
      <c r="H6" s="0">
        <f>SUBTOTAL(109,PolsubTable0[Second Half])</f>
      </c>
      <c r="I6" s="0">
        <f>SUBTOTAL(109,PolsubTable0[Penalty])</f>
      </c>
      <c r="J6" s="0">
        <f>SUBTOTAL(109,PolsubTable0[Paid First])</f>
      </c>
      <c r="K6" s="0">
        <f>SUBTOTAL(109,PolsubTable0[Paid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10490-MADISON COUNTY</oddHeader>
    <evenHeader>&amp;CMADISON COUNTY 
Alternative Energy Distribution for: 10490-MADISON COUNTY</evenHeader>
    <firstHeader>&amp;CMADISON COUNTY 
Alternative Energy Distribution for: 10490-MADISON COUNTY</firstHeader>
  </headerFooter>
  <tableParts>
    <tablePart r:id="rId1"/>
  </tableParts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4"/>
  <sheetViews>
    <sheetView workbookViewId="0"/>
  </sheetViews>
  <sheetFormatPr defaultRowHeight="15"/>
  <cols>
    <col min="1" max="1" width="24.33140754699707" customWidth="1"/>
    <col min="2" max="2" width="11.995565414428711" customWidth="1"/>
    <col min="3" max="3" width="13.309181213378906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37</v>
      </c>
      <c r="C3" s="0" t="s">
        <v>39</v>
      </c>
      <c r="D3" s="2">
        <v>4.75</v>
      </c>
      <c r="E3" s="2">
        <v>0</v>
      </c>
      <c r="F3" s="2">
        <v>0</v>
      </c>
      <c r="G3" s="2">
        <v>4842.23</v>
      </c>
      <c r="H3" s="2">
        <v>4842.23</v>
      </c>
      <c r="I3" s="2">
        <v>0</v>
      </c>
      <c r="J3" s="2">
        <v>9684.46</v>
      </c>
      <c r="K3" s="2">
        <v>0</v>
      </c>
    </row>
    <row r="4">
      <c r="A4" s="0" t="s">
        <v>17</v>
      </c>
      <c r="B4" s="0" t="s">
        <v>37</v>
      </c>
      <c r="C4" s="0" t="s">
        <v>39</v>
      </c>
      <c r="D4" s="2">
        <v>4.75</v>
      </c>
      <c r="E4" s="2">
        <v>0</v>
      </c>
      <c r="F4" s="2">
        <v>0</v>
      </c>
      <c r="G4" s="2">
        <v>34469.78</v>
      </c>
      <c r="H4" s="2">
        <v>34469.78</v>
      </c>
      <c r="I4" s="2">
        <v>0</v>
      </c>
      <c r="J4" s="2">
        <v>35062.71</v>
      </c>
      <c r="K4" s="2">
        <v>0</v>
      </c>
    </row>
    <row r="5">
      <c r="A5" s="0" t="s">
        <v>15</v>
      </c>
      <c r="B5" s="0" t="s">
        <v>15</v>
      </c>
      <c r="C5" s="0" t="s">
        <v>15</v>
      </c>
      <c r="D5" s="0" t="s">
        <v>19</v>
      </c>
      <c r="E5" s="0">
        <f>SUBTOTAL(109,PolsubTable9[Interest])</f>
      </c>
      <c r="F5" s="0">
        <f>SUBTOTAL(109,PolsubTable9[Delinquent])</f>
      </c>
      <c r="G5" s="0">
        <f>SUBTOTAL(109,PolsubTable9[First Half])</f>
      </c>
      <c r="H5" s="0">
        <f>SUBTOTAL(109,PolsubTable9[Second Half])</f>
      </c>
      <c r="I5" s="0">
        <f>SUBTOTAL(109,PolsubTable9[Penalty])</f>
      </c>
      <c r="J5" s="0">
        <f>SUBTOTAL(109,PolsubTable9[Paid First])</f>
      </c>
      <c r="K5" s="0">
        <f>SUBTOTAL(109,PolsubTable9[Paid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61201-CENTRAL TWP JNT FIRE DIST</oddHeader>
    <evenHeader>&amp;CMADISON COUNTY 
Alternative Energy Distribution for: 61201-CENTRAL TWP JNT FIRE DIST</evenHeader>
    <firstHeader>&amp;CMADISON COUNTY 
Alternative Energy Distribution for: 61201-CENTRAL TWP JNT FIRE DIST</firstHeader>
  </headerFooter>
  <tableParts>
    <tablePart r:id="rId1"/>
  </tableParts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6"/>
  <sheetViews>
    <sheetView workbookViewId="0"/>
  </sheetViews>
  <sheetFormatPr defaultRowHeight="15"/>
  <cols>
    <col min="1" max="1" width="24.33140754699707" customWidth="1"/>
    <col min="2" max="2" width="11.995565414428711" customWidth="1"/>
    <col min="3" max="3" width="26.955570220947266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15</v>
      </c>
      <c r="C3" s="0" t="s">
        <v>16</v>
      </c>
      <c r="D3" s="2">
        <v>5.1</v>
      </c>
      <c r="E3" s="2">
        <v>0</v>
      </c>
      <c r="F3" s="2">
        <v>0</v>
      </c>
      <c r="G3" s="2">
        <v>51579.88</v>
      </c>
      <c r="H3" s="2">
        <v>51579.88</v>
      </c>
      <c r="I3" s="2">
        <v>0</v>
      </c>
      <c r="J3" s="2">
        <v>103159.76</v>
      </c>
      <c r="K3" s="2">
        <v>0</v>
      </c>
    </row>
    <row r="4">
      <c r="A4" s="0" t="s">
        <v>14</v>
      </c>
      <c r="B4" s="0" t="s">
        <v>21</v>
      </c>
      <c r="C4" s="0" t="s">
        <v>36</v>
      </c>
      <c r="D4" s="2">
        <v>16</v>
      </c>
      <c r="E4" s="2">
        <v>0</v>
      </c>
      <c r="F4" s="2">
        <v>0</v>
      </c>
      <c r="G4" s="2">
        <v>161819.22</v>
      </c>
      <c r="H4" s="2">
        <v>161819.22</v>
      </c>
      <c r="I4" s="2">
        <v>0</v>
      </c>
      <c r="J4" s="2">
        <v>323638.44</v>
      </c>
      <c r="K4" s="2">
        <v>0</v>
      </c>
    </row>
    <row r="5">
      <c r="A5" s="0" t="s">
        <v>14</v>
      </c>
      <c r="B5" s="0" t="s">
        <v>40</v>
      </c>
      <c r="C5" s="0" t="s">
        <v>36</v>
      </c>
      <c r="D5" s="2">
        <v>6</v>
      </c>
      <c r="E5" s="2">
        <v>0</v>
      </c>
      <c r="F5" s="2">
        <v>0</v>
      </c>
      <c r="G5" s="2">
        <v>60682.2</v>
      </c>
      <c r="H5" s="2">
        <v>60682.2</v>
      </c>
      <c r="I5" s="2">
        <v>0</v>
      </c>
      <c r="J5" s="2">
        <v>121364.4</v>
      </c>
      <c r="K5" s="2">
        <v>0</v>
      </c>
    </row>
    <row r="6">
      <c r="A6" s="0" t="s">
        <v>14</v>
      </c>
      <c r="B6" s="0" t="s">
        <v>41</v>
      </c>
      <c r="C6" s="0" t="s">
        <v>36</v>
      </c>
      <c r="D6" s="2">
        <v>5.85</v>
      </c>
      <c r="E6" s="2">
        <v>0</v>
      </c>
      <c r="F6" s="2">
        <v>0</v>
      </c>
      <c r="G6" s="2">
        <v>59165.15</v>
      </c>
      <c r="H6" s="2">
        <v>59165.15</v>
      </c>
      <c r="I6" s="2">
        <v>0</v>
      </c>
      <c r="J6" s="2">
        <v>118330.3</v>
      </c>
      <c r="K6" s="2">
        <v>0</v>
      </c>
    </row>
    <row r="7">
      <c r="A7" s="0" t="s">
        <v>14</v>
      </c>
      <c r="B7" s="0" t="s">
        <v>42</v>
      </c>
      <c r="C7" s="0" t="s">
        <v>43</v>
      </c>
      <c r="D7" s="2">
        <v>2.5</v>
      </c>
      <c r="E7" s="2">
        <v>0</v>
      </c>
      <c r="F7" s="2">
        <v>0</v>
      </c>
      <c r="G7" s="2">
        <v>25284.25</v>
      </c>
      <c r="H7" s="2">
        <v>25284.25</v>
      </c>
      <c r="I7" s="2">
        <v>0</v>
      </c>
      <c r="J7" s="2">
        <v>50568.5</v>
      </c>
      <c r="K7" s="2">
        <v>0</v>
      </c>
    </row>
    <row r="8">
      <c r="A8" s="0" t="s">
        <v>14</v>
      </c>
      <c r="B8" s="0" t="s">
        <v>44</v>
      </c>
      <c r="C8" s="0" t="s">
        <v>36</v>
      </c>
      <c r="D8" s="2">
        <v>5</v>
      </c>
      <c r="E8" s="2">
        <v>0</v>
      </c>
      <c r="F8" s="2">
        <v>0</v>
      </c>
      <c r="G8" s="2">
        <v>50568.51</v>
      </c>
      <c r="H8" s="2">
        <v>50568.51</v>
      </c>
      <c r="I8" s="2">
        <v>0</v>
      </c>
      <c r="J8" s="2">
        <v>101137.02</v>
      </c>
      <c r="K8" s="2">
        <v>0</v>
      </c>
    </row>
    <row r="9">
      <c r="A9" s="0" t="s">
        <v>14</v>
      </c>
      <c r="B9" s="0" t="s">
        <v>24</v>
      </c>
      <c r="C9" s="0" t="s">
        <v>36</v>
      </c>
      <c r="D9" s="2">
        <v>8</v>
      </c>
      <c r="E9" s="2">
        <v>0</v>
      </c>
      <c r="F9" s="2">
        <v>0</v>
      </c>
      <c r="G9" s="2">
        <v>80909.61</v>
      </c>
      <c r="H9" s="2">
        <v>80909.61</v>
      </c>
      <c r="I9" s="2">
        <v>0</v>
      </c>
      <c r="J9" s="2">
        <v>161819.22</v>
      </c>
      <c r="K9" s="2">
        <v>0</v>
      </c>
    </row>
    <row r="10">
      <c r="A10" s="0" t="s">
        <v>17</v>
      </c>
      <c r="B10" s="0" t="s">
        <v>15</v>
      </c>
      <c r="C10" s="0" t="s">
        <v>16</v>
      </c>
      <c r="D10" s="2">
        <v>5.1</v>
      </c>
      <c r="E10" s="2">
        <v>0</v>
      </c>
      <c r="F10" s="2">
        <v>0</v>
      </c>
      <c r="G10" s="2">
        <v>37134.37</v>
      </c>
      <c r="H10" s="2">
        <v>37134.37</v>
      </c>
      <c r="I10" s="2">
        <v>0</v>
      </c>
      <c r="J10" s="2">
        <v>37770.99</v>
      </c>
      <c r="K10" s="2">
        <v>0</v>
      </c>
    </row>
    <row r="11">
      <c r="A11" s="0" t="s">
        <v>17</v>
      </c>
      <c r="B11" s="0" t="s">
        <v>21</v>
      </c>
      <c r="C11" s="0" t="s">
        <v>36</v>
      </c>
      <c r="D11" s="2">
        <v>16</v>
      </c>
      <c r="E11" s="2">
        <v>0</v>
      </c>
      <c r="F11" s="2">
        <v>0</v>
      </c>
      <c r="G11" s="2">
        <v>116499.97</v>
      </c>
      <c r="H11" s="2">
        <v>116499.97</v>
      </c>
      <c r="I11" s="2">
        <v>0</v>
      </c>
      <c r="J11" s="2">
        <v>118497.19</v>
      </c>
      <c r="K11" s="2">
        <v>0</v>
      </c>
    </row>
    <row r="12">
      <c r="A12" s="0" t="s">
        <v>17</v>
      </c>
      <c r="B12" s="0" t="s">
        <v>40</v>
      </c>
      <c r="C12" s="0" t="s">
        <v>36</v>
      </c>
      <c r="D12" s="2">
        <v>6</v>
      </c>
      <c r="E12" s="2">
        <v>0</v>
      </c>
      <c r="F12" s="2">
        <v>0</v>
      </c>
      <c r="G12" s="2">
        <v>43687.49</v>
      </c>
      <c r="H12" s="2">
        <v>43687.49</v>
      </c>
      <c r="I12" s="2">
        <v>0</v>
      </c>
      <c r="J12" s="2">
        <v>44436.45</v>
      </c>
      <c r="K12" s="2">
        <v>0</v>
      </c>
    </row>
    <row r="13">
      <c r="A13" s="0" t="s">
        <v>17</v>
      </c>
      <c r="B13" s="0" t="s">
        <v>41</v>
      </c>
      <c r="C13" s="0" t="s">
        <v>36</v>
      </c>
      <c r="D13" s="2">
        <v>5.85</v>
      </c>
      <c r="E13" s="2">
        <v>0</v>
      </c>
      <c r="F13" s="2">
        <v>0</v>
      </c>
      <c r="G13" s="2">
        <v>42595.3</v>
      </c>
      <c r="H13" s="2">
        <v>42595.3</v>
      </c>
      <c r="I13" s="2">
        <v>0</v>
      </c>
      <c r="J13" s="2">
        <v>43325.54</v>
      </c>
      <c r="K13" s="2">
        <v>0</v>
      </c>
    </row>
    <row r="14">
      <c r="A14" s="0" t="s">
        <v>17</v>
      </c>
      <c r="B14" s="0" t="s">
        <v>42</v>
      </c>
      <c r="C14" s="0" t="s">
        <v>43</v>
      </c>
      <c r="D14" s="2">
        <v>2.5</v>
      </c>
      <c r="E14" s="2">
        <v>0</v>
      </c>
      <c r="F14" s="2">
        <v>0</v>
      </c>
      <c r="G14" s="2">
        <v>18203.12</v>
      </c>
      <c r="H14" s="2">
        <v>18203.12</v>
      </c>
      <c r="I14" s="2">
        <v>0</v>
      </c>
      <c r="J14" s="2">
        <v>18515.19</v>
      </c>
      <c r="K14" s="2">
        <v>0</v>
      </c>
    </row>
    <row r="15">
      <c r="A15" s="0" t="s">
        <v>17</v>
      </c>
      <c r="B15" s="0" t="s">
        <v>44</v>
      </c>
      <c r="C15" s="0" t="s">
        <v>36</v>
      </c>
      <c r="D15" s="2">
        <v>5</v>
      </c>
      <c r="E15" s="2">
        <v>0</v>
      </c>
      <c r="F15" s="2">
        <v>0</v>
      </c>
      <c r="G15" s="2">
        <v>36406.24</v>
      </c>
      <c r="H15" s="2">
        <v>36406.24</v>
      </c>
      <c r="I15" s="2">
        <v>0</v>
      </c>
      <c r="J15" s="2">
        <v>37030.37</v>
      </c>
      <c r="K15" s="2">
        <v>0</v>
      </c>
    </row>
    <row r="16">
      <c r="A16" s="0" t="s">
        <v>17</v>
      </c>
      <c r="B16" s="0" t="s">
        <v>24</v>
      </c>
      <c r="C16" s="0" t="s">
        <v>36</v>
      </c>
      <c r="D16" s="2">
        <v>8</v>
      </c>
      <c r="E16" s="2">
        <v>0</v>
      </c>
      <c r="F16" s="2">
        <v>0</v>
      </c>
      <c r="G16" s="2">
        <v>58249.99</v>
      </c>
      <c r="H16" s="2">
        <v>58249.99</v>
      </c>
      <c r="I16" s="2">
        <v>0</v>
      </c>
      <c r="J16" s="2">
        <v>59248.6</v>
      </c>
      <c r="K16" s="2">
        <v>0</v>
      </c>
    </row>
    <row r="17">
      <c r="A17" s="0" t="s">
        <v>15</v>
      </c>
      <c r="B17" s="0" t="s">
        <v>15</v>
      </c>
      <c r="C17" s="0" t="s">
        <v>15</v>
      </c>
      <c r="D17" s="0" t="s">
        <v>19</v>
      </c>
      <c r="E17" s="0">
        <f>SUBTOTAL(109,PolsubTable10[Interest])</f>
      </c>
      <c r="F17" s="0">
        <f>SUBTOTAL(109,PolsubTable10[Delinquent])</f>
      </c>
      <c r="G17" s="0">
        <f>SUBTOTAL(109,PolsubTable10[First Half])</f>
      </c>
      <c r="H17" s="0">
        <f>SUBTOTAL(109,PolsubTable10[Second Half])</f>
      </c>
      <c r="I17" s="0">
        <f>SUBTOTAL(109,PolsubTable10[Penalty])</f>
      </c>
      <c r="J17" s="0">
        <f>SUBTOTAL(109,PolsubTable10[Paid First])</f>
      </c>
      <c r="K17" s="0">
        <f>SUBTOTAL(109,PolsubTable10[Paid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23130-MADISON PLAINS LSD</oddHeader>
    <evenHeader>&amp;CMADISON COUNTY 
Alternative Energy Distribution for: 23130-MADISON PLAINS LSD</evenHeader>
    <firstHeader>&amp;CMADISON COUNTY 
Alternative Energy Distribution for: 23130-MADISON PLAINS LSD</firstHeader>
  </headerFooter>
  <tableParts>
    <tablePart r:id="rId1"/>
  </tableParts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4"/>
  <sheetViews>
    <sheetView workbookViewId="0"/>
  </sheetViews>
  <sheetFormatPr defaultRowHeight="15"/>
  <cols>
    <col min="1" max="1" width="24.33140754699707" customWidth="1"/>
    <col min="2" max="2" width="11.995565414428711" customWidth="1"/>
    <col min="3" max="3" width="15.188272476196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15</v>
      </c>
      <c r="C3" s="0" t="s">
        <v>16</v>
      </c>
      <c r="D3" s="2">
        <v>1.4</v>
      </c>
      <c r="E3" s="2">
        <v>0</v>
      </c>
      <c r="F3" s="2">
        <v>0</v>
      </c>
      <c r="G3" s="2">
        <v>1427.2</v>
      </c>
      <c r="H3" s="2">
        <v>1427.2</v>
      </c>
      <c r="I3" s="2">
        <v>0</v>
      </c>
      <c r="J3" s="2">
        <v>2854.4</v>
      </c>
      <c r="K3" s="2">
        <v>0</v>
      </c>
    </row>
    <row r="4">
      <c r="A4" s="0" t="s">
        <v>17</v>
      </c>
      <c r="B4" s="0" t="s">
        <v>15</v>
      </c>
      <c r="C4" s="0" t="s">
        <v>16</v>
      </c>
      <c r="D4" s="2">
        <v>1.4</v>
      </c>
      <c r="E4" s="2">
        <v>0</v>
      </c>
      <c r="F4" s="2">
        <v>0</v>
      </c>
      <c r="G4" s="2">
        <v>10159.49</v>
      </c>
      <c r="H4" s="2">
        <v>10159.49</v>
      </c>
      <c r="I4" s="2">
        <v>0</v>
      </c>
      <c r="J4" s="2">
        <v>10334.25</v>
      </c>
      <c r="K4" s="2">
        <v>0</v>
      </c>
    </row>
    <row r="5">
      <c r="A5" s="0" t="s">
        <v>15</v>
      </c>
      <c r="B5" s="0" t="s">
        <v>15</v>
      </c>
      <c r="C5" s="0" t="s">
        <v>15</v>
      </c>
      <c r="D5" s="0" t="s">
        <v>19</v>
      </c>
      <c r="E5" s="0">
        <f>SUBTOTAL(109,PolsubTable11[Interest])</f>
      </c>
      <c r="F5" s="0">
        <f>SUBTOTAL(109,PolsubTable11[Delinquent])</f>
      </c>
      <c r="G5" s="0">
        <f>SUBTOTAL(109,PolsubTable11[First Half])</f>
      </c>
      <c r="H5" s="0">
        <f>SUBTOTAL(109,PolsubTable11[Second Half])</f>
      </c>
      <c r="I5" s="0">
        <f>SUBTOTAL(109,PolsubTable11[Penalty])</f>
      </c>
      <c r="J5" s="0">
        <f>SUBTOTAL(109,PolsubTable11[Paid First])</f>
      </c>
      <c r="K5" s="0">
        <f>SUBTOTAL(109,PolsubTable11[Paid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43900-OAK RUN TWP</oddHeader>
    <evenHeader>&amp;CMADISON COUNTY 
Alternative Energy Distribution for: 43900-OAK RUN TWP</evenHeader>
    <firstHeader>&amp;CMADISON COUNTY 
Alternative Energy Distribution for: 43900-OAK RUN TWP</firstHeader>
  </headerFooter>
  <tableParts>
    <tablePart r:id="rId1"/>
  </tableParts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6"/>
  <sheetViews>
    <sheetView workbookViewId="0"/>
  </sheetViews>
  <sheetFormatPr defaultRowHeight="15"/>
  <cols>
    <col min="1" max="1" width="24.33140754699707" customWidth="1"/>
    <col min="2" max="2" width="11.995565414428711" customWidth="1"/>
    <col min="3" max="3" width="25.814851760864258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17</v>
      </c>
      <c r="B3" s="0" t="s">
        <v>15</v>
      </c>
      <c r="C3" s="0" t="s">
        <v>16</v>
      </c>
      <c r="D3" s="2">
        <v>0.4</v>
      </c>
      <c r="E3" s="2">
        <v>0</v>
      </c>
      <c r="F3" s="2">
        <v>0</v>
      </c>
      <c r="G3" s="2">
        <v>9.78</v>
      </c>
      <c r="H3" s="2">
        <v>9.78</v>
      </c>
      <c r="I3" s="2">
        <v>0</v>
      </c>
      <c r="J3" s="2">
        <v>9.78</v>
      </c>
      <c r="K3" s="2">
        <v>0</v>
      </c>
    </row>
    <row r="4">
      <c r="A4" s="0" t="s">
        <v>17</v>
      </c>
      <c r="B4" s="0" t="s">
        <v>15</v>
      </c>
      <c r="C4" s="0" t="s">
        <v>45</v>
      </c>
      <c r="D4" s="2">
        <v>0.1</v>
      </c>
      <c r="E4" s="2">
        <v>0</v>
      </c>
      <c r="F4" s="2">
        <v>0</v>
      </c>
      <c r="G4" s="2">
        <v>2.45</v>
      </c>
      <c r="H4" s="2">
        <v>2.45</v>
      </c>
      <c r="I4" s="2">
        <v>0</v>
      </c>
      <c r="J4" s="2">
        <v>2.45</v>
      </c>
      <c r="K4" s="2">
        <v>0</v>
      </c>
    </row>
    <row r="5">
      <c r="A5" s="0" t="s">
        <v>17</v>
      </c>
      <c r="B5" s="0" t="s">
        <v>37</v>
      </c>
      <c r="C5" s="0" t="s">
        <v>46</v>
      </c>
      <c r="D5" s="2">
        <v>0.4</v>
      </c>
      <c r="E5" s="2">
        <v>0</v>
      </c>
      <c r="F5" s="2">
        <v>0</v>
      </c>
      <c r="G5" s="2">
        <v>9.78</v>
      </c>
      <c r="H5" s="2">
        <v>9.78</v>
      </c>
      <c r="I5" s="2">
        <v>0</v>
      </c>
      <c r="J5" s="2">
        <v>9.78</v>
      </c>
      <c r="K5" s="2">
        <v>0</v>
      </c>
    </row>
    <row r="6">
      <c r="A6" s="0" t="s">
        <v>17</v>
      </c>
      <c r="B6" s="0" t="s">
        <v>38</v>
      </c>
      <c r="C6" s="0" t="s">
        <v>46</v>
      </c>
      <c r="D6" s="2">
        <v>0.1</v>
      </c>
      <c r="E6" s="2">
        <v>0</v>
      </c>
      <c r="F6" s="2">
        <v>0</v>
      </c>
      <c r="G6" s="2">
        <v>2.45</v>
      </c>
      <c r="H6" s="2">
        <v>2.45</v>
      </c>
      <c r="I6" s="2">
        <v>0</v>
      </c>
      <c r="J6" s="2">
        <v>2.45</v>
      </c>
      <c r="K6" s="2">
        <v>0</v>
      </c>
    </row>
    <row r="7">
      <c r="A7" s="0" t="s">
        <v>15</v>
      </c>
      <c r="B7" s="0" t="s">
        <v>15</v>
      </c>
      <c r="C7" s="0" t="s">
        <v>15</v>
      </c>
      <c r="D7" s="0" t="s">
        <v>19</v>
      </c>
      <c r="E7" s="0">
        <f>SUBTOTAL(109,PolsubTable12[Interest])</f>
      </c>
      <c r="F7" s="0">
        <f>SUBTOTAL(109,PolsubTable12[Delinquent])</f>
      </c>
      <c r="G7" s="0">
        <f>SUBTOTAL(109,PolsubTable12[First Half])</f>
      </c>
      <c r="H7" s="0">
        <f>SUBTOTAL(109,PolsubTable12[Second Half])</f>
      </c>
      <c r="I7" s="0">
        <f>SUBTOTAL(109,PolsubTable12[Penalty])</f>
      </c>
      <c r="J7" s="0">
        <f>SUBTOTAL(109,PolsubTable12[Paid First])</f>
      </c>
      <c r="K7" s="0">
        <f>SUBTOTAL(109,PolsubTable12[Paid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44259-PLEASANT TWP</oddHeader>
    <evenHeader>&amp;CMADISON COUNTY 
Alternative Energy Distribution for: 44259-PLEASANT TWP</evenHeader>
    <firstHeader>&amp;CMADISON COUNTY 
Alternative Energy Distribution for: 44259-PLEASANT TWP</firstHeader>
  </headerFooter>
  <tableParts>
    <tablePart r:id="rId1"/>
  </tableParts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6"/>
  <sheetViews>
    <sheetView workbookViewId="0"/>
  </sheetViews>
  <sheetFormatPr defaultRowHeight="15"/>
  <cols>
    <col min="1" max="1" width="24.33140754699707" customWidth="1"/>
    <col min="2" max="2" width="11.995565414428711" customWidth="1"/>
    <col min="3" max="3" width="18.05899429321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17</v>
      </c>
      <c r="B3" s="0" t="s">
        <v>27</v>
      </c>
      <c r="C3" s="0" t="s">
        <v>36</v>
      </c>
      <c r="D3" s="2">
        <v>1</v>
      </c>
      <c r="E3" s="2">
        <v>0</v>
      </c>
      <c r="F3" s="2">
        <v>0</v>
      </c>
      <c r="G3" s="2">
        <v>24.45</v>
      </c>
      <c r="H3" s="2">
        <v>24.45</v>
      </c>
      <c r="I3" s="2">
        <v>0</v>
      </c>
      <c r="J3" s="2">
        <v>24.45</v>
      </c>
      <c r="K3" s="2">
        <v>0</v>
      </c>
    </row>
    <row r="4">
      <c r="A4" s="0" t="s">
        <v>17</v>
      </c>
      <c r="B4" s="0" t="s">
        <v>47</v>
      </c>
      <c r="C4" s="0" t="s">
        <v>36</v>
      </c>
      <c r="D4" s="2">
        <v>1.8</v>
      </c>
      <c r="E4" s="2">
        <v>0</v>
      </c>
      <c r="F4" s="2">
        <v>0</v>
      </c>
      <c r="G4" s="2">
        <v>44.01</v>
      </c>
      <c r="H4" s="2">
        <v>44.01</v>
      </c>
      <c r="I4" s="2">
        <v>0</v>
      </c>
      <c r="J4" s="2">
        <v>44.01</v>
      </c>
      <c r="K4" s="2">
        <v>0</v>
      </c>
    </row>
    <row r="5">
      <c r="A5" s="0" t="s">
        <v>17</v>
      </c>
      <c r="B5" s="0" t="s">
        <v>48</v>
      </c>
      <c r="C5" s="0" t="s">
        <v>36</v>
      </c>
      <c r="D5" s="2">
        <v>1.5</v>
      </c>
      <c r="E5" s="2">
        <v>0</v>
      </c>
      <c r="F5" s="2">
        <v>0</v>
      </c>
      <c r="G5" s="2">
        <v>36.68</v>
      </c>
      <c r="H5" s="2">
        <v>36.68</v>
      </c>
      <c r="I5" s="2">
        <v>0</v>
      </c>
      <c r="J5" s="2">
        <v>36.68</v>
      </c>
      <c r="K5" s="2">
        <v>0</v>
      </c>
    </row>
    <row r="6">
      <c r="A6" s="0" t="s">
        <v>17</v>
      </c>
      <c r="B6" s="0" t="s">
        <v>48</v>
      </c>
      <c r="C6" s="0" t="s">
        <v>36</v>
      </c>
      <c r="D6" s="2">
        <v>1.5</v>
      </c>
      <c r="E6" s="2">
        <v>0</v>
      </c>
      <c r="F6" s="2">
        <v>0</v>
      </c>
      <c r="G6" s="2">
        <v>36.68</v>
      </c>
      <c r="H6" s="2">
        <v>36.68</v>
      </c>
      <c r="I6" s="2">
        <v>0</v>
      </c>
      <c r="J6" s="2">
        <v>36.68</v>
      </c>
      <c r="K6" s="2">
        <v>0</v>
      </c>
    </row>
    <row r="7">
      <c r="A7" s="0" t="s">
        <v>15</v>
      </c>
      <c r="B7" s="0" t="s">
        <v>15</v>
      </c>
      <c r="C7" s="0" t="s">
        <v>15</v>
      </c>
      <c r="D7" s="0" t="s">
        <v>19</v>
      </c>
      <c r="E7" s="0">
        <f>SUBTOTAL(109,PolsubTable13[Interest])</f>
      </c>
      <c r="F7" s="0">
        <f>SUBTOTAL(109,PolsubTable13[Delinquent])</f>
      </c>
      <c r="G7" s="0">
        <f>SUBTOTAL(109,PolsubTable13[First Half])</f>
      </c>
      <c r="H7" s="0">
        <f>SUBTOTAL(109,PolsubTable13[Second Half])</f>
      </c>
      <c r="I7" s="0">
        <f>SUBTOTAL(109,PolsubTable13[Penalty])</f>
      </c>
      <c r="J7" s="0">
        <f>SUBTOTAL(109,PolsubTable13[Paid First])</f>
      </c>
      <c r="K7" s="0">
        <f>SUBTOTAL(109,PolsubTable13[Paid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60680-STERLING JOINT AMBULANCE </oddHeader>
    <evenHeader>&amp;CMADISON COUNTY 
Alternative Energy Distribution for: 60680-STERLING JOINT AMBULANCE </evenHeader>
    <firstHeader>&amp;CMADISON COUNTY 
Alternative Energy Distribution for: 60680-STERLING JOINT AMBULANCE </firstHeader>
  </headerFooter>
  <tableParts>
    <tablePart r:id="rId1"/>
  </tableParts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3"/>
  <sheetViews>
    <sheetView workbookViewId="0"/>
  </sheetViews>
  <sheetFormatPr defaultRowHeight="15"/>
  <cols>
    <col min="1" max="1" width="24.33140754699707" customWidth="1"/>
    <col min="2" max="2" width="11.995565414428711" customWidth="1"/>
    <col min="3" max="3" width="13.309181213378906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17</v>
      </c>
      <c r="B3" s="0" t="s">
        <v>49</v>
      </c>
      <c r="C3" s="0" t="s">
        <v>50</v>
      </c>
      <c r="D3" s="2">
        <v>1</v>
      </c>
      <c r="E3" s="2">
        <v>0</v>
      </c>
      <c r="F3" s="2">
        <v>0</v>
      </c>
      <c r="G3" s="2">
        <v>24.45</v>
      </c>
      <c r="H3" s="2">
        <v>24.45</v>
      </c>
      <c r="I3" s="2">
        <v>0</v>
      </c>
      <c r="J3" s="2">
        <v>24.45</v>
      </c>
      <c r="K3" s="2">
        <v>0</v>
      </c>
    </row>
    <row r="4">
      <c r="A4" s="0" t="s">
        <v>15</v>
      </c>
      <c r="B4" s="0" t="s">
        <v>15</v>
      </c>
      <c r="C4" s="0" t="s">
        <v>15</v>
      </c>
      <c r="D4" s="0" t="s">
        <v>19</v>
      </c>
      <c r="E4" s="0">
        <f>SUBTOTAL(109,PolsubTable14[Interest])</f>
      </c>
      <c r="F4" s="0">
        <f>SUBTOTAL(109,PolsubTable14[Delinquent])</f>
      </c>
      <c r="G4" s="0">
        <f>SUBTOTAL(109,PolsubTable14[First Half])</f>
      </c>
      <c r="H4" s="0">
        <f>SUBTOTAL(109,PolsubTable14[Second Half])</f>
      </c>
      <c r="I4" s="0">
        <f>SUBTOTAL(109,PolsubTable14[Penalty])</f>
      </c>
      <c r="J4" s="0">
        <f>SUBTOTAL(109,PolsubTable14[Paid First])</f>
      </c>
      <c r="K4" s="0">
        <f>SUBTOTAL(109,PolsubTable14[Paid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61123-PLEASANT DARBY UNION CEME</oddHeader>
    <evenHeader>&amp;CMADISON COUNTY 
Alternative Energy Distribution for: 61123-PLEASANT DARBY UNION CEME</evenHeader>
    <firstHeader>&amp;CMADISON COUNTY 
Alternative Energy Distribution for: 61123-PLEASANT DARBY UNION CEME</firstHeader>
  </headerFooter>
  <tableParts>
    <tablePart r:id="rId1"/>
  </tableParts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4"/>
  <sheetViews>
    <sheetView workbookViewId="0"/>
  </sheetViews>
  <sheetFormatPr defaultRowHeight="15"/>
  <cols>
    <col min="1" max="1" width="24.33140754699707" customWidth="1"/>
    <col min="2" max="2" width="11.995565414428711" customWidth="1"/>
    <col min="3" max="3" width="18.05899429321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17</v>
      </c>
      <c r="B3" s="0" t="s">
        <v>38</v>
      </c>
      <c r="C3" s="0" t="s">
        <v>36</v>
      </c>
      <c r="D3" s="2">
        <v>2.5</v>
      </c>
      <c r="E3" s="2">
        <v>0</v>
      </c>
      <c r="F3" s="2">
        <v>0</v>
      </c>
      <c r="G3" s="2">
        <v>61.13</v>
      </c>
      <c r="H3" s="2">
        <v>61.13</v>
      </c>
      <c r="I3" s="2">
        <v>0</v>
      </c>
      <c r="J3" s="2">
        <v>61.13</v>
      </c>
      <c r="K3" s="2">
        <v>0</v>
      </c>
    </row>
    <row r="4">
      <c r="A4" s="0" t="s">
        <v>17</v>
      </c>
      <c r="B4" s="0" t="s">
        <v>51</v>
      </c>
      <c r="C4" s="0" t="s">
        <v>36</v>
      </c>
      <c r="D4" s="2">
        <v>1.5</v>
      </c>
      <c r="E4" s="2">
        <v>0</v>
      </c>
      <c r="F4" s="2">
        <v>0</v>
      </c>
      <c r="G4" s="2">
        <v>36.67</v>
      </c>
      <c r="H4" s="2">
        <v>36.67</v>
      </c>
      <c r="I4" s="2">
        <v>0</v>
      </c>
      <c r="J4" s="2">
        <v>36.67</v>
      </c>
      <c r="K4" s="2">
        <v>0</v>
      </c>
    </row>
    <row r="5">
      <c r="A5" s="0" t="s">
        <v>15</v>
      </c>
      <c r="B5" s="0" t="s">
        <v>15</v>
      </c>
      <c r="C5" s="0" t="s">
        <v>15</v>
      </c>
      <c r="D5" s="0" t="s">
        <v>19</v>
      </c>
      <c r="E5" s="0">
        <f>SUBTOTAL(109,PolsubTable15[Interest])</f>
      </c>
      <c r="F5" s="0">
        <f>SUBTOTAL(109,PolsubTable15[Delinquent])</f>
      </c>
      <c r="G5" s="0">
        <f>SUBTOTAL(109,PolsubTable15[First Half])</f>
      </c>
      <c r="H5" s="0">
        <f>SUBTOTAL(109,PolsubTable15[Second Half])</f>
      </c>
      <c r="I5" s="0">
        <f>SUBTOTAL(109,PolsubTable15[Penalty])</f>
      </c>
      <c r="J5" s="0">
        <f>SUBTOTAL(109,PolsubTable15[Paid First])</f>
      </c>
      <c r="K5" s="0">
        <f>SUBTOTAL(109,PolsubTable15[Paid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61147-TRI-COUNTY JOINT FIRE DIS</oddHeader>
    <evenHeader>&amp;CMADISON COUNTY 
Alternative Energy Distribution for: 61147-TRI-COUNTY JOINT FIRE DIS</evenHeader>
    <firstHeader>&amp;CMADISON COUNTY 
Alternative Energy Distribution for: 61147-TRI-COUNTY JOINT FIRE DIS</firstHeader>
  </headerFooter>
  <tableParts>
    <tablePart r:id="rId1"/>
  </tableParts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19.87800407409668" customWidth="1"/>
    <col min="2" max="2" width="11.995565414428711" customWidth="1"/>
    <col min="3" max="3" width="15.188272476196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15</v>
      </c>
      <c r="C3" s="0" t="s">
        <v>16</v>
      </c>
      <c r="D3" s="2">
        <v>1.4</v>
      </c>
      <c r="E3" s="2">
        <v>0</v>
      </c>
      <c r="F3" s="2">
        <v>0</v>
      </c>
      <c r="G3" s="2">
        <v>12732</v>
      </c>
      <c r="H3" s="2">
        <v>12732</v>
      </c>
      <c r="I3" s="2">
        <v>0</v>
      </c>
      <c r="J3" s="2">
        <v>25464</v>
      </c>
      <c r="K3" s="2">
        <v>0</v>
      </c>
    </row>
    <row r="4">
      <c r="A4" s="0" t="s">
        <v>14</v>
      </c>
      <c r="B4" s="0" t="s">
        <v>24</v>
      </c>
      <c r="C4" s="0" t="s">
        <v>52</v>
      </c>
      <c r="D4" s="2">
        <v>4.5</v>
      </c>
      <c r="E4" s="2">
        <v>0</v>
      </c>
      <c r="F4" s="2">
        <v>0</v>
      </c>
      <c r="G4" s="2">
        <v>40924.28</v>
      </c>
      <c r="H4" s="2">
        <v>40924.28</v>
      </c>
      <c r="I4" s="2">
        <v>0</v>
      </c>
      <c r="J4" s="2">
        <v>81848.56</v>
      </c>
      <c r="K4" s="2">
        <v>0</v>
      </c>
    </row>
    <row r="5">
      <c r="A5" s="0" t="s">
        <v>14</v>
      </c>
      <c r="B5" s="0" t="s">
        <v>29</v>
      </c>
      <c r="C5" s="0" t="s">
        <v>53</v>
      </c>
      <c r="D5" s="2">
        <v>0.25</v>
      </c>
      <c r="E5" s="2">
        <v>0</v>
      </c>
      <c r="F5" s="2">
        <v>0</v>
      </c>
      <c r="G5" s="2">
        <v>2273.57</v>
      </c>
      <c r="H5" s="2">
        <v>2273.57</v>
      </c>
      <c r="I5" s="2">
        <v>0</v>
      </c>
      <c r="J5" s="2">
        <v>4547.14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SUBTOTAL(109,PolsubTable16[Interest])</f>
      </c>
      <c r="F6" s="0">
        <f>SUBTOTAL(109,PolsubTable16[Delinquent])</f>
      </c>
      <c r="G6" s="0">
        <f>SUBTOTAL(109,PolsubTable16[First Half])</f>
      </c>
      <c r="H6" s="0">
        <f>SUBTOTAL(109,PolsubTable16[Second Half])</f>
      </c>
      <c r="I6" s="0">
        <f>SUBTOTAL(109,PolsubTable16[Penalty])</f>
      </c>
      <c r="J6" s="0">
        <f>SUBTOTAL(109,PolsubTable16[Paid First])</f>
      </c>
      <c r="K6" s="0">
        <f>SUBTOTAL(109,PolsubTable16[Paid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41734-FAIRFIELD TWP</oddHeader>
    <evenHeader>&amp;CMADISON COUNTY 
Alternative Energy Distribution for: 41734-FAIRFIELD TWP</evenHeader>
    <firstHeader>&amp;CMADISON COUNTY 
Alternative Energy Distribution for: 41734-FAIRFIELD TWP</firstHeader>
  </headerFooter>
  <tableParts>
    <tablePart r:id="rId1"/>
  </tableParts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7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23.5886631011962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18</v>
      </c>
      <c r="B3" s="0" t="s">
        <v>15</v>
      </c>
      <c r="C3" s="0" t="s">
        <v>16</v>
      </c>
      <c r="D3" s="2">
        <v>4.9</v>
      </c>
      <c r="E3" s="2">
        <v>0</v>
      </c>
      <c r="F3" s="2">
        <v>0</v>
      </c>
      <c r="G3" s="2">
        <v>55203.86</v>
      </c>
      <c r="H3" s="2">
        <v>55203.86</v>
      </c>
      <c r="I3" s="2">
        <v>0</v>
      </c>
      <c r="J3" s="2">
        <v>110407.72</v>
      </c>
      <c r="K3" s="2">
        <v>0</v>
      </c>
    </row>
    <row r="4">
      <c r="A4" s="0" t="s">
        <v>18</v>
      </c>
      <c r="B4" s="0" t="s">
        <v>21</v>
      </c>
      <c r="C4" s="0" t="s">
        <v>36</v>
      </c>
      <c r="D4" s="2">
        <v>19.3</v>
      </c>
      <c r="E4" s="2">
        <v>0</v>
      </c>
      <c r="F4" s="2">
        <v>0</v>
      </c>
      <c r="G4" s="2">
        <v>217435.62</v>
      </c>
      <c r="H4" s="2">
        <v>217435.62</v>
      </c>
      <c r="I4" s="2">
        <v>0</v>
      </c>
      <c r="J4" s="2">
        <v>434871.24</v>
      </c>
      <c r="K4" s="2">
        <v>0</v>
      </c>
    </row>
    <row r="5">
      <c r="A5" s="0" t="s">
        <v>18</v>
      </c>
      <c r="B5" s="0" t="s">
        <v>54</v>
      </c>
      <c r="C5" s="0" t="s">
        <v>36</v>
      </c>
      <c r="D5" s="2">
        <v>8</v>
      </c>
      <c r="E5" s="2">
        <v>0</v>
      </c>
      <c r="F5" s="2">
        <v>0</v>
      </c>
      <c r="G5" s="2">
        <v>90128.76</v>
      </c>
      <c r="H5" s="2">
        <v>90128.76</v>
      </c>
      <c r="I5" s="2">
        <v>0</v>
      </c>
      <c r="J5" s="2">
        <v>180257.52</v>
      </c>
      <c r="K5" s="2">
        <v>0</v>
      </c>
    </row>
    <row r="6">
      <c r="A6" s="0" t="s">
        <v>18</v>
      </c>
      <c r="B6" s="0" t="s">
        <v>32</v>
      </c>
      <c r="C6" s="0" t="s">
        <v>55</v>
      </c>
      <c r="D6" s="2">
        <v>1.25</v>
      </c>
      <c r="E6" s="2">
        <v>0</v>
      </c>
      <c r="F6" s="2">
        <v>0</v>
      </c>
      <c r="G6" s="2">
        <v>14082.62</v>
      </c>
      <c r="H6" s="2">
        <v>14082.62</v>
      </c>
      <c r="I6" s="2">
        <v>0</v>
      </c>
      <c r="J6" s="2">
        <v>28165.24</v>
      </c>
      <c r="K6" s="2">
        <v>0</v>
      </c>
    </row>
    <row r="7">
      <c r="A7" s="0" t="s">
        <v>18</v>
      </c>
      <c r="B7" s="0" t="s">
        <v>56</v>
      </c>
      <c r="C7" s="0" t="s">
        <v>57</v>
      </c>
      <c r="D7" s="2">
        <v>5</v>
      </c>
      <c r="E7" s="2">
        <v>0</v>
      </c>
      <c r="F7" s="2">
        <v>0</v>
      </c>
      <c r="G7" s="2">
        <v>56330.47</v>
      </c>
      <c r="H7" s="2">
        <v>56330.47</v>
      </c>
      <c r="I7" s="2">
        <v>0</v>
      </c>
      <c r="J7" s="2">
        <v>112660.94</v>
      </c>
      <c r="K7" s="2">
        <v>0</v>
      </c>
    </row>
    <row r="8">
      <c r="A8" s="0" t="s">
        <v>15</v>
      </c>
      <c r="B8" s="0" t="s">
        <v>15</v>
      </c>
      <c r="C8" s="0" t="s">
        <v>15</v>
      </c>
      <c r="D8" s="0" t="s">
        <v>19</v>
      </c>
      <c r="E8" s="0">
        <f>SUBTOTAL(109,PolsubTable17[Interest])</f>
      </c>
      <c r="F8" s="0">
        <f>SUBTOTAL(109,PolsubTable17[Delinquent])</f>
      </c>
      <c r="G8" s="0">
        <f>SUBTOTAL(109,PolsubTable17[First Half])</f>
      </c>
      <c r="H8" s="0">
        <f>SUBTOTAL(109,PolsubTable17[Second Half])</f>
      </c>
      <c r="I8" s="0">
        <f>SUBTOTAL(109,PolsubTable17[Penalty])</f>
      </c>
      <c r="J8" s="0">
        <f>SUBTOTAL(109,PolsubTable17[Paid First])</f>
      </c>
      <c r="K8" s="0">
        <f>SUBTOTAL(109,PolsubTable17[Paid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21700-FAIRBANKS LSD</oddHeader>
    <evenHeader>&amp;CMADISON COUNTY 
Alternative Energy Distribution for: 21700-FAIRBANKS LSD</evenHeader>
    <firstHeader>&amp;CMADISON COUNTY 
Alternative Energy Distribution for: 21700-FAIRBANKS LSD</firstHeader>
  </headerFooter>
  <tableParts>
    <tablePart r:id="rId1"/>
  </tableParts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15.188272476196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18</v>
      </c>
      <c r="B3" s="0" t="s">
        <v>15</v>
      </c>
      <c r="C3" s="0" t="s">
        <v>16</v>
      </c>
      <c r="D3" s="2">
        <v>1.6</v>
      </c>
      <c r="E3" s="2">
        <v>0</v>
      </c>
      <c r="F3" s="2">
        <v>0</v>
      </c>
      <c r="G3" s="2">
        <v>18025.75</v>
      </c>
      <c r="H3" s="2">
        <v>18025.75</v>
      </c>
      <c r="I3" s="2">
        <v>0</v>
      </c>
      <c r="J3" s="2">
        <v>36051.5</v>
      </c>
      <c r="K3" s="2">
        <v>0</v>
      </c>
    </row>
    <row r="4">
      <c r="A4" s="0" t="s">
        <v>18</v>
      </c>
      <c r="B4" s="0" t="s">
        <v>26</v>
      </c>
      <c r="C4" s="0" t="s">
        <v>52</v>
      </c>
      <c r="D4" s="2">
        <v>2.88</v>
      </c>
      <c r="E4" s="2">
        <v>0</v>
      </c>
      <c r="F4" s="2">
        <v>0</v>
      </c>
      <c r="G4" s="2">
        <v>32446.35</v>
      </c>
      <c r="H4" s="2">
        <v>32446.35</v>
      </c>
      <c r="I4" s="2">
        <v>0</v>
      </c>
      <c r="J4" s="2">
        <v>64892.7</v>
      </c>
      <c r="K4" s="2">
        <v>0</v>
      </c>
    </row>
    <row r="5">
      <c r="A5" s="0" t="s">
        <v>18</v>
      </c>
      <c r="B5" s="0" t="s">
        <v>34</v>
      </c>
      <c r="C5" s="0" t="s">
        <v>52</v>
      </c>
      <c r="D5" s="2">
        <v>0.24</v>
      </c>
      <c r="E5" s="2">
        <v>0</v>
      </c>
      <c r="F5" s="2">
        <v>0</v>
      </c>
      <c r="G5" s="2">
        <v>2703.88</v>
      </c>
      <c r="H5" s="2">
        <v>2703.88</v>
      </c>
      <c r="I5" s="2">
        <v>0</v>
      </c>
      <c r="J5" s="2">
        <v>5407.76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SUBTOTAL(109,PolsubTable18[Interest])</f>
      </c>
      <c r="F6" s="0">
        <f>SUBTOTAL(109,PolsubTable18[Delinquent])</f>
      </c>
      <c r="G6" s="0">
        <f>SUBTOTAL(109,PolsubTable18[First Half])</f>
      </c>
      <c r="H6" s="0">
        <f>SUBTOTAL(109,PolsubTable18[Second Half])</f>
      </c>
      <c r="I6" s="0">
        <f>SUBTOTAL(109,PolsubTable18[Penalty])</f>
      </c>
      <c r="J6" s="0">
        <f>SUBTOTAL(109,PolsubTable18[Paid First])</f>
      </c>
      <c r="K6" s="0">
        <f>SUBTOTAL(109,PolsubTable18[Paid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44215-PIKE TWP</oddHeader>
    <evenHeader>&amp;CMADISON COUNTY 
Alternative Energy Distribution for: 44215-PIKE TWP</evenHeader>
    <firstHeader>&amp;CMADISON COUNTY 
Alternative Energy Distribution for: 44215-PIKE TWP</firstHeader>
  </headerFooter>
  <tableParts>
    <tablePart r:id="rId1"/>
  </tableParts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16.810853958129883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15</v>
      </c>
      <c r="C3" s="0" t="s">
        <v>20</v>
      </c>
      <c r="D3" s="2">
        <v>0.5</v>
      </c>
      <c r="E3" s="2">
        <v>0</v>
      </c>
      <c r="F3" s="2">
        <v>0</v>
      </c>
      <c r="G3" s="2">
        <v>5056.85</v>
      </c>
      <c r="H3" s="2">
        <v>5056.85</v>
      </c>
      <c r="I3" s="2">
        <v>0</v>
      </c>
      <c r="J3" s="2">
        <v>10113.7</v>
      </c>
      <c r="K3" s="2">
        <v>0</v>
      </c>
    </row>
    <row r="4">
      <c r="A4" s="0" t="s">
        <v>17</v>
      </c>
      <c r="B4" s="0" t="s">
        <v>15</v>
      </c>
      <c r="C4" s="0" t="s">
        <v>20</v>
      </c>
      <c r="D4" s="2">
        <v>0.5</v>
      </c>
      <c r="E4" s="2">
        <v>0</v>
      </c>
      <c r="F4" s="2">
        <v>0</v>
      </c>
      <c r="G4" s="2">
        <v>3640.63</v>
      </c>
      <c r="H4" s="2">
        <v>3640.63</v>
      </c>
      <c r="I4" s="2">
        <v>0</v>
      </c>
      <c r="J4" s="2">
        <v>3703.04</v>
      </c>
      <c r="K4" s="2">
        <v>0</v>
      </c>
    </row>
    <row r="5">
      <c r="A5" s="0" t="s">
        <v>18</v>
      </c>
      <c r="B5" s="0" t="s">
        <v>15</v>
      </c>
      <c r="C5" s="0" t="s">
        <v>20</v>
      </c>
      <c r="D5" s="2">
        <v>0.5</v>
      </c>
      <c r="E5" s="2">
        <v>0</v>
      </c>
      <c r="F5" s="2">
        <v>0</v>
      </c>
      <c r="G5" s="2">
        <v>5633.05</v>
      </c>
      <c r="H5" s="2">
        <v>5633.05</v>
      </c>
      <c r="I5" s="2">
        <v>0</v>
      </c>
      <c r="J5" s="2">
        <v>11266.1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SUBTOTAL(109,PolsubTable1[Interest])</f>
      </c>
      <c r="F6" s="0">
        <f>SUBTOTAL(109,PolsubTable1[Delinquent])</f>
      </c>
      <c r="G6" s="0">
        <f>SUBTOTAL(109,PolsubTable1[First Half])</f>
      </c>
      <c r="H6" s="0">
        <f>SUBTOTAL(109,PolsubTable1[Second Half])</f>
      </c>
      <c r="I6" s="0">
        <f>SUBTOTAL(109,PolsubTable1[Penalty])</f>
      </c>
      <c r="J6" s="0">
        <f>SUBTOTAL(109,PolsubTable1[Paid First])</f>
      </c>
      <c r="K6" s="0">
        <f>SUBTOTAL(109,PolsubTable1[Paid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104901-VETERANS RELIEF</oddHeader>
    <evenHeader>&amp;CMADISON COUNTY 
Alternative Energy Distribution for: 104901-VETERANS RELIEF</evenHeader>
    <firstHeader>&amp;CMADISON COUNTY 
Alternative Energy Distribution for: 104901-VETERANS RELIEF</firstHeader>
  </headerFooter>
  <tableParts>
    <tablePart r:id="rId1"/>
  </tableParts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7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28.432876586914062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21</v>
      </c>
      <c r="C3" s="0" t="s">
        <v>22</v>
      </c>
      <c r="D3" s="2">
        <v>0.1</v>
      </c>
      <c r="E3" s="2">
        <v>0</v>
      </c>
      <c r="F3" s="2">
        <v>0</v>
      </c>
      <c r="G3" s="2">
        <v>1011.37</v>
      </c>
      <c r="H3" s="2">
        <v>1011.37</v>
      </c>
      <c r="I3" s="2">
        <v>0</v>
      </c>
      <c r="J3" s="2">
        <v>2022.74</v>
      </c>
      <c r="K3" s="2">
        <v>0</v>
      </c>
    </row>
    <row r="4">
      <c r="A4" s="0" t="s">
        <v>14</v>
      </c>
      <c r="B4" s="0" t="s">
        <v>21</v>
      </c>
      <c r="C4" s="0" t="s">
        <v>22</v>
      </c>
      <c r="D4" s="2">
        <v>0.4</v>
      </c>
      <c r="E4" s="2">
        <v>0</v>
      </c>
      <c r="F4" s="2">
        <v>0</v>
      </c>
      <c r="G4" s="2">
        <v>4045.48</v>
      </c>
      <c r="H4" s="2">
        <v>4045.48</v>
      </c>
      <c r="I4" s="2">
        <v>0</v>
      </c>
      <c r="J4" s="2">
        <v>8090.96</v>
      </c>
      <c r="K4" s="2">
        <v>0</v>
      </c>
    </row>
    <row r="5">
      <c r="A5" s="0" t="s">
        <v>14</v>
      </c>
      <c r="B5" s="0" t="s">
        <v>23</v>
      </c>
      <c r="C5" s="0" t="s">
        <v>22</v>
      </c>
      <c r="D5" s="2">
        <v>1.2</v>
      </c>
      <c r="E5" s="2">
        <v>0</v>
      </c>
      <c r="F5" s="2">
        <v>0</v>
      </c>
      <c r="G5" s="2">
        <v>12136.44</v>
      </c>
      <c r="H5" s="2">
        <v>12136.44</v>
      </c>
      <c r="I5" s="2">
        <v>0</v>
      </c>
      <c r="J5" s="2">
        <v>24272.88</v>
      </c>
      <c r="K5" s="2">
        <v>0</v>
      </c>
    </row>
    <row r="6">
      <c r="A6" s="0" t="s">
        <v>14</v>
      </c>
      <c r="B6" s="0" t="s">
        <v>24</v>
      </c>
      <c r="C6" s="0" t="s">
        <v>25</v>
      </c>
      <c r="D6" s="2">
        <v>1.3</v>
      </c>
      <c r="E6" s="2">
        <v>0</v>
      </c>
      <c r="F6" s="2">
        <v>0</v>
      </c>
      <c r="G6" s="2">
        <v>13147.81</v>
      </c>
      <c r="H6" s="2">
        <v>13147.81</v>
      </c>
      <c r="I6" s="2">
        <v>0</v>
      </c>
      <c r="J6" s="2">
        <v>26295.62</v>
      </c>
      <c r="K6" s="2">
        <v>0</v>
      </c>
    </row>
    <row r="7">
      <c r="A7" s="0" t="s">
        <v>14</v>
      </c>
      <c r="B7" s="0" t="s">
        <v>26</v>
      </c>
      <c r="C7" s="0" t="s">
        <v>25</v>
      </c>
      <c r="D7" s="2">
        <v>1</v>
      </c>
      <c r="E7" s="2">
        <v>0</v>
      </c>
      <c r="F7" s="2">
        <v>0</v>
      </c>
      <c r="G7" s="2">
        <v>10113.7</v>
      </c>
      <c r="H7" s="2">
        <v>10113.7</v>
      </c>
      <c r="I7" s="2">
        <v>0</v>
      </c>
      <c r="J7" s="2">
        <v>20227.4</v>
      </c>
      <c r="K7" s="2">
        <v>0</v>
      </c>
    </row>
    <row r="8">
      <c r="A8" s="0" t="s">
        <v>17</v>
      </c>
      <c r="B8" s="0" t="s">
        <v>21</v>
      </c>
      <c r="C8" s="0" t="s">
        <v>22</v>
      </c>
      <c r="D8" s="2">
        <v>0.1</v>
      </c>
      <c r="E8" s="2">
        <v>0</v>
      </c>
      <c r="F8" s="2">
        <v>0</v>
      </c>
      <c r="G8" s="2">
        <v>728.13</v>
      </c>
      <c r="H8" s="2">
        <v>728.13</v>
      </c>
      <c r="I8" s="2">
        <v>0</v>
      </c>
      <c r="J8" s="2">
        <v>740.61</v>
      </c>
      <c r="K8" s="2">
        <v>0</v>
      </c>
    </row>
    <row r="9">
      <c r="A9" s="0" t="s">
        <v>17</v>
      </c>
      <c r="B9" s="0" t="s">
        <v>21</v>
      </c>
      <c r="C9" s="0" t="s">
        <v>22</v>
      </c>
      <c r="D9" s="2">
        <v>0.4</v>
      </c>
      <c r="E9" s="2">
        <v>0</v>
      </c>
      <c r="F9" s="2">
        <v>0</v>
      </c>
      <c r="G9" s="2">
        <v>2912.5</v>
      </c>
      <c r="H9" s="2">
        <v>2912.5</v>
      </c>
      <c r="I9" s="2">
        <v>0</v>
      </c>
      <c r="J9" s="2">
        <v>2962.43</v>
      </c>
      <c r="K9" s="2">
        <v>0</v>
      </c>
    </row>
    <row r="10">
      <c r="A10" s="0" t="s">
        <v>17</v>
      </c>
      <c r="B10" s="0" t="s">
        <v>23</v>
      </c>
      <c r="C10" s="0" t="s">
        <v>22</v>
      </c>
      <c r="D10" s="2">
        <v>1.2</v>
      </c>
      <c r="E10" s="2">
        <v>0</v>
      </c>
      <c r="F10" s="2">
        <v>0</v>
      </c>
      <c r="G10" s="2">
        <v>8737.5</v>
      </c>
      <c r="H10" s="2">
        <v>8737.5</v>
      </c>
      <c r="I10" s="2">
        <v>0</v>
      </c>
      <c r="J10" s="2">
        <v>8887.29</v>
      </c>
      <c r="K10" s="2">
        <v>0</v>
      </c>
    </row>
    <row r="11">
      <c r="A11" s="0" t="s">
        <v>17</v>
      </c>
      <c r="B11" s="0" t="s">
        <v>24</v>
      </c>
      <c r="C11" s="0" t="s">
        <v>25</v>
      </c>
      <c r="D11" s="2">
        <v>1.3</v>
      </c>
      <c r="E11" s="2">
        <v>0</v>
      </c>
      <c r="F11" s="2">
        <v>0</v>
      </c>
      <c r="G11" s="2">
        <v>9465.62</v>
      </c>
      <c r="H11" s="2">
        <v>9465.62</v>
      </c>
      <c r="I11" s="2">
        <v>0</v>
      </c>
      <c r="J11" s="2">
        <v>9627.89</v>
      </c>
      <c r="K11" s="2">
        <v>0</v>
      </c>
    </row>
    <row r="12">
      <c r="A12" s="0" t="s">
        <v>17</v>
      </c>
      <c r="B12" s="0" t="s">
        <v>26</v>
      </c>
      <c r="C12" s="0" t="s">
        <v>25</v>
      </c>
      <c r="D12" s="2">
        <v>1</v>
      </c>
      <c r="E12" s="2">
        <v>0</v>
      </c>
      <c r="F12" s="2">
        <v>0</v>
      </c>
      <c r="G12" s="2">
        <v>7281.25</v>
      </c>
      <c r="H12" s="2">
        <v>7281.25</v>
      </c>
      <c r="I12" s="2">
        <v>0</v>
      </c>
      <c r="J12" s="2">
        <v>7406.08</v>
      </c>
      <c r="K12" s="2">
        <v>0</v>
      </c>
    </row>
    <row r="13">
      <c r="A13" s="0" t="s">
        <v>18</v>
      </c>
      <c r="B13" s="0" t="s">
        <v>21</v>
      </c>
      <c r="C13" s="0" t="s">
        <v>22</v>
      </c>
      <c r="D13" s="2">
        <v>0.1</v>
      </c>
      <c r="E13" s="2">
        <v>0</v>
      </c>
      <c r="F13" s="2">
        <v>0</v>
      </c>
      <c r="G13" s="2">
        <v>1126.61</v>
      </c>
      <c r="H13" s="2">
        <v>1126.61</v>
      </c>
      <c r="I13" s="2">
        <v>0</v>
      </c>
      <c r="J13" s="2">
        <v>2253.22</v>
      </c>
      <c r="K13" s="2">
        <v>0</v>
      </c>
    </row>
    <row r="14">
      <c r="A14" s="0" t="s">
        <v>18</v>
      </c>
      <c r="B14" s="0" t="s">
        <v>21</v>
      </c>
      <c r="C14" s="0" t="s">
        <v>22</v>
      </c>
      <c r="D14" s="2">
        <v>0.4</v>
      </c>
      <c r="E14" s="2">
        <v>0</v>
      </c>
      <c r="F14" s="2">
        <v>0</v>
      </c>
      <c r="G14" s="2">
        <v>4506.44</v>
      </c>
      <c r="H14" s="2">
        <v>4506.44</v>
      </c>
      <c r="I14" s="2">
        <v>0</v>
      </c>
      <c r="J14" s="2">
        <v>9012.88</v>
      </c>
      <c r="K14" s="2">
        <v>0</v>
      </c>
    </row>
    <row r="15">
      <c r="A15" s="0" t="s">
        <v>18</v>
      </c>
      <c r="B15" s="0" t="s">
        <v>23</v>
      </c>
      <c r="C15" s="0" t="s">
        <v>22</v>
      </c>
      <c r="D15" s="2">
        <v>1.2</v>
      </c>
      <c r="E15" s="2">
        <v>0</v>
      </c>
      <c r="F15" s="2">
        <v>0</v>
      </c>
      <c r="G15" s="2">
        <v>13519.31</v>
      </c>
      <c r="H15" s="2">
        <v>13519.31</v>
      </c>
      <c r="I15" s="2">
        <v>0</v>
      </c>
      <c r="J15" s="2">
        <v>27038.62</v>
      </c>
      <c r="K15" s="2">
        <v>0</v>
      </c>
    </row>
    <row r="16">
      <c r="A16" s="0" t="s">
        <v>18</v>
      </c>
      <c r="B16" s="0" t="s">
        <v>24</v>
      </c>
      <c r="C16" s="0" t="s">
        <v>25</v>
      </c>
      <c r="D16" s="2">
        <v>1.3</v>
      </c>
      <c r="E16" s="2">
        <v>0</v>
      </c>
      <c r="F16" s="2">
        <v>0</v>
      </c>
      <c r="G16" s="2">
        <v>14645.92</v>
      </c>
      <c r="H16" s="2">
        <v>14645.92</v>
      </c>
      <c r="I16" s="2">
        <v>0</v>
      </c>
      <c r="J16" s="2">
        <v>29291.84</v>
      </c>
      <c r="K16" s="2">
        <v>0</v>
      </c>
    </row>
    <row r="17">
      <c r="A17" s="0" t="s">
        <v>18</v>
      </c>
      <c r="B17" s="0" t="s">
        <v>26</v>
      </c>
      <c r="C17" s="0" t="s">
        <v>25</v>
      </c>
      <c r="D17" s="2">
        <v>1</v>
      </c>
      <c r="E17" s="2">
        <v>0</v>
      </c>
      <c r="F17" s="2">
        <v>0</v>
      </c>
      <c r="G17" s="2">
        <v>11266.09</v>
      </c>
      <c r="H17" s="2">
        <v>11266.09</v>
      </c>
      <c r="I17" s="2">
        <v>0</v>
      </c>
      <c r="J17" s="2">
        <v>22532.18</v>
      </c>
      <c r="K17" s="2">
        <v>0</v>
      </c>
    </row>
    <row r="18">
      <c r="A18" s="0" t="s">
        <v>15</v>
      </c>
      <c r="B18" s="0" t="s">
        <v>15</v>
      </c>
      <c r="C18" s="0" t="s">
        <v>15</v>
      </c>
      <c r="D18" s="0" t="s">
        <v>19</v>
      </c>
      <c r="E18" s="0">
        <f>SUBTOTAL(109,PolsubTable2[Interest])</f>
      </c>
      <c r="F18" s="0">
        <f>SUBTOTAL(109,PolsubTable2[Delinquent])</f>
      </c>
      <c r="G18" s="0">
        <f>SUBTOTAL(109,PolsubTable2[First Half])</f>
      </c>
      <c r="H18" s="0">
        <f>SUBTOTAL(109,PolsubTable2[Second Half])</f>
      </c>
      <c r="I18" s="0">
        <f>SUBTOTAL(109,PolsubTable2[Penalty])</f>
      </c>
      <c r="J18" s="0">
        <f>SUBTOTAL(109,PolsubTable2[Paid First])</f>
      </c>
      <c r="K18" s="0">
        <f>SUBTOTAL(109,PolsubTable2[Paid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104902-MAD CO BD OF DEVELOPMENT</oddHeader>
    <evenHeader>&amp;CMADISON COUNTY 
Alternative Energy Distribution for: 104902-MAD CO BD OF DEVELOPMENT</evenHeader>
    <firstHeader>&amp;CMADISON COUNTY 
Alternative Energy Distribution for: 104902-MAD CO BD OF DEVELOPMENT</firstHeader>
  </headerFooter>
  <tableParts>
    <tablePart r:id="rId1"/>
  </tableParts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8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17.031835556030273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27</v>
      </c>
      <c r="C3" s="0" t="s">
        <v>28</v>
      </c>
      <c r="D3" s="2">
        <v>1</v>
      </c>
      <c r="E3" s="2">
        <v>0</v>
      </c>
      <c r="F3" s="2">
        <v>0</v>
      </c>
      <c r="G3" s="2">
        <v>10113.7</v>
      </c>
      <c r="H3" s="2">
        <v>10113.7</v>
      </c>
      <c r="I3" s="2">
        <v>0</v>
      </c>
      <c r="J3" s="2">
        <v>20227.4</v>
      </c>
      <c r="K3" s="2">
        <v>0</v>
      </c>
    </row>
    <row r="4">
      <c r="A4" s="0" t="s">
        <v>14</v>
      </c>
      <c r="B4" s="0" t="s">
        <v>29</v>
      </c>
      <c r="C4" s="0" t="s">
        <v>28</v>
      </c>
      <c r="D4" s="2">
        <v>0.15</v>
      </c>
      <c r="E4" s="2">
        <v>0</v>
      </c>
      <c r="F4" s="2">
        <v>0</v>
      </c>
      <c r="G4" s="2">
        <v>1517.05</v>
      </c>
      <c r="H4" s="2">
        <v>1517.05</v>
      </c>
      <c r="I4" s="2">
        <v>0</v>
      </c>
      <c r="J4" s="2">
        <v>3034.1</v>
      </c>
      <c r="K4" s="2">
        <v>0</v>
      </c>
    </row>
    <row r="5">
      <c r="A5" s="0" t="s">
        <v>17</v>
      </c>
      <c r="B5" s="0" t="s">
        <v>27</v>
      </c>
      <c r="C5" s="0" t="s">
        <v>28</v>
      </c>
      <c r="D5" s="2">
        <v>1</v>
      </c>
      <c r="E5" s="2">
        <v>0</v>
      </c>
      <c r="F5" s="2">
        <v>0</v>
      </c>
      <c r="G5" s="2">
        <v>7281.25</v>
      </c>
      <c r="H5" s="2">
        <v>7281.25</v>
      </c>
      <c r="I5" s="2">
        <v>0</v>
      </c>
      <c r="J5" s="2">
        <v>7406.08</v>
      </c>
      <c r="K5" s="2">
        <v>0</v>
      </c>
    </row>
    <row r="6">
      <c r="A6" s="0" t="s">
        <v>17</v>
      </c>
      <c r="B6" s="0" t="s">
        <v>29</v>
      </c>
      <c r="C6" s="0" t="s">
        <v>28</v>
      </c>
      <c r="D6" s="2">
        <v>0.15</v>
      </c>
      <c r="E6" s="2">
        <v>0</v>
      </c>
      <c r="F6" s="2">
        <v>0</v>
      </c>
      <c r="G6" s="2">
        <v>1092.19</v>
      </c>
      <c r="H6" s="2">
        <v>1092.19</v>
      </c>
      <c r="I6" s="2">
        <v>0</v>
      </c>
      <c r="J6" s="2">
        <v>1110.91</v>
      </c>
      <c r="K6" s="2">
        <v>0</v>
      </c>
    </row>
    <row r="7">
      <c r="A7" s="0" t="s">
        <v>18</v>
      </c>
      <c r="B7" s="0" t="s">
        <v>27</v>
      </c>
      <c r="C7" s="0" t="s">
        <v>28</v>
      </c>
      <c r="D7" s="2">
        <v>1</v>
      </c>
      <c r="E7" s="2">
        <v>0</v>
      </c>
      <c r="F7" s="2">
        <v>0</v>
      </c>
      <c r="G7" s="2">
        <v>11266.09</v>
      </c>
      <c r="H7" s="2">
        <v>11266.09</v>
      </c>
      <c r="I7" s="2">
        <v>0</v>
      </c>
      <c r="J7" s="2">
        <v>22532.18</v>
      </c>
      <c r="K7" s="2">
        <v>0</v>
      </c>
    </row>
    <row r="8">
      <c r="A8" s="0" t="s">
        <v>18</v>
      </c>
      <c r="B8" s="0" t="s">
        <v>29</v>
      </c>
      <c r="C8" s="0" t="s">
        <v>28</v>
      </c>
      <c r="D8" s="2">
        <v>0.15</v>
      </c>
      <c r="E8" s="2">
        <v>0</v>
      </c>
      <c r="F8" s="2">
        <v>0</v>
      </c>
      <c r="G8" s="2">
        <v>1689.91</v>
      </c>
      <c r="H8" s="2">
        <v>1689.91</v>
      </c>
      <c r="I8" s="2">
        <v>0</v>
      </c>
      <c r="J8" s="2">
        <v>3379.82</v>
      </c>
      <c r="K8" s="2">
        <v>0</v>
      </c>
    </row>
    <row r="9">
      <c r="A9" s="0" t="s">
        <v>15</v>
      </c>
      <c r="B9" s="0" t="s">
        <v>15</v>
      </c>
      <c r="C9" s="0" t="s">
        <v>15</v>
      </c>
      <c r="D9" s="0" t="s">
        <v>19</v>
      </c>
      <c r="E9" s="0">
        <f>SUBTOTAL(109,PolsubTable3[Interest])</f>
      </c>
      <c r="F9" s="0">
        <f>SUBTOTAL(109,PolsubTable3[Delinquent])</f>
      </c>
      <c r="G9" s="0">
        <f>SUBTOTAL(109,PolsubTable3[First Half])</f>
      </c>
      <c r="H9" s="0">
        <f>SUBTOTAL(109,PolsubTable3[Second Half])</f>
      </c>
      <c r="I9" s="0">
        <f>SUBTOTAL(109,PolsubTable3[Penalty])</f>
      </c>
      <c r="J9" s="0">
        <f>SUBTOTAL(109,PolsubTable3[Paid First])</f>
      </c>
      <c r="K9" s="0">
        <f>SUBTOTAL(109,PolsubTable3[Paid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104903-HEALTH SERVICES</oddHeader>
    <evenHeader>&amp;CMADISON COUNTY 
Alternative Energy Distribution for: 104903-HEALTH SERVICES</evenHeader>
    <firstHeader>&amp;CMADISON COUNTY 
Alternative Energy Distribution for: 104903-HEALTH SERVICES</firstHeader>
  </headerFooter>
  <tableParts>
    <tablePart r:id="rId1"/>
  </tableParts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32.95380401611328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30</v>
      </c>
      <c r="C3" s="0" t="s">
        <v>31</v>
      </c>
      <c r="D3" s="2">
        <v>0.5</v>
      </c>
      <c r="E3" s="2">
        <v>0</v>
      </c>
      <c r="F3" s="2">
        <v>0</v>
      </c>
      <c r="G3" s="2">
        <v>5056.85</v>
      </c>
      <c r="H3" s="2">
        <v>5056.85</v>
      </c>
      <c r="I3" s="2">
        <v>0</v>
      </c>
      <c r="J3" s="2">
        <v>10113.7</v>
      </c>
      <c r="K3" s="2">
        <v>0</v>
      </c>
    </row>
    <row r="4">
      <c r="A4" s="0" t="s">
        <v>17</v>
      </c>
      <c r="B4" s="0" t="s">
        <v>30</v>
      </c>
      <c r="C4" s="0" t="s">
        <v>31</v>
      </c>
      <c r="D4" s="2">
        <v>0.5</v>
      </c>
      <c r="E4" s="2">
        <v>0</v>
      </c>
      <c r="F4" s="2">
        <v>0</v>
      </c>
      <c r="G4" s="2">
        <v>3640.63</v>
      </c>
      <c r="H4" s="2">
        <v>3640.63</v>
      </c>
      <c r="I4" s="2">
        <v>0</v>
      </c>
      <c r="J4" s="2">
        <v>3703.04</v>
      </c>
      <c r="K4" s="2">
        <v>0</v>
      </c>
    </row>
    <row r="5">
      <c r="A5" s="0" t="s">
        <v>18</v>
      </c>
      <c r="B5" s="0" t="s">
        <v>30</v>
      </c>
      <c r="C5" s="0" t="s">
        <v>31</v>
      </c>
      <c r="D5" s="2">
        <v>0.5</v>
      </c>
      <c r="E5" s="2">
        <v>0</v>
      </c>
      <c r="F5" s="2">
        <v>0</v>
      </c>
      <c r="G5" s="2">
        <v>5633.05</v>
      </c>
      <c r="H5" s="2">
        <v>5633.05</v>
      </c>
      <c r="I5" s="2">
        <v>0</v>
      </c>
      <c r="J5" s="2">
        <v>11266.1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SUBTOTAL(109,PolsubTable4[Interest])</f>
      </c>
      <c r="F6" s="0">
        <f>SUBTOTAL(109,PolsubTable4[Delinquent])</f>
      </c>
      <c r="G6" s="0">
        <f>SUBTOTAL(109,PolsubTable4[First Half])</f>
      </c>
      <c r="H6" s="0">
        <f>SUBTOTAL(109,PolsubTable4[Second Half])</f>
      </c>
      <c r="I6" s="0">
        <f>SUBTOTAL(109,PolsubTable4[Penalty])</f>
      </c>
      <c r="J6" s="0">
        <f>SUBTOTAL(109,PolsubTable4[Paid First])</f>
      </c>
      <c r="K6" s="0">
        <f>SUBTOTAL(109,PolsubTable4[Paid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104904-MENTAL HEALTH &amp; RECOVERY</oddHeader>
    <evenHeader>&amp;CMADISON COUNTY 
Alternative Energy Distribution for: 104904-MENTAL HEALTH &amp; RECOVERY</evenHeader>
    <firstHeader>&amp;CMADISON COUNTY 
Alternative Energy Distribution for: 104904-MENTAL HEALTH &amp; RECOVERY</firstHeader>
  </headerFooter>
  <tableParts>
    <tablePart r:id="rId1"/>
  </tableParts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16.221569061279297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32</v>
      </c>
      <c r="C3" s="0" t="s">
        <v>33</v>
      </c>
      <c r="D3" s="2">
        <v>0.8</v>
      </c>
      <c r="E3" s="2">
        <v>0</v>
      </c>
      <c r="F3" s="2">
        <v>0</v>
      </c>
      <c r="G3" s="2">
        <v>8090.96</v>
      </c>
      <c r="H3" s="2">
        <v>8090.96</v>
      </c>
      <c r="I3" s="2">
        <v>0</v>
      </c>
      <c r="J3" s="2">
        <v>16181.92</v>
      </c>
      <c r="K3" s="2">
        <v>0</v>
      </c>
    </row>
    <row r="4">
      <c r="A4" s="0" t="s">
        <v>17</v>
      </c>
      <c r="B4" s="0" t="s">
        <v>32</v>
      </c>
      <c r="C4" s="0" t="s">
        <v>33</v>
      </c>
      <c r="D4" s="2">
        <v>0.8</v>
      </c>
      <c r="E4" s="2">
        <v>0</v>
      </c>
      <c r="F4" s="2">
        <v>0</v>
      </c>
      <c r="G4" s="2">
        <v>5825</v>
      </c>
      <c r="H4" s="2">
        <v>5825</v>
      </c>
      <c r="I4" s="2">
        <v>0</v>
      </c>
      <c r="J4" s="2">
        <v>5924.86</v>
      </c>
      <c r="K4" s="2">
        <v>0</v>
      </c>
    </row>
    <row r="5">
      <c r="A5" s="0" t="s">
        <v>18</v>
      </c>
      <c r="B5" s="0" t="s">
        <v>32</v>
      </c>
      <c r="C5" s="0" t="s">
        <v>33</v>
      </c>
      <c r="D5" s="2">
        <v>0.8</v>
      </c>
      <c r="E5" s="2">
        <v>0</v>
      </c>
      <c r="F5" s="2">
        <v>0</v>
      </c>
      <c r="G5" s="2">
        <v>9012.88</v>
      </c>
      <c r="H5" s="2">
        <v>9012.88</v>
      </c>
      <c r="I5" s="2">
        <v>0</v>
      </c>
      <c r="J5" s="2">
        <v>18025.76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SUBTOTAL(109,PolsubTable5[Interest])</f>
      </c>
      <c r="F6" s="0">
        <f>SUBTOTAL(109,PolsubTable5[Delinquent])</f>
      </c>
      <c r="G6" s="0">
        <f>SUBTOTAL(109,PolsubTable5[First Half])</f>
      </c>
      <c r="H6" s="0">
        <f>SUBTOTAL(109,PolsubTable5[Second Half])</f>
      </c>
      <c r="I6" s="0">
        <f>SUBTOTAL(109,PolsubTable5[Penalty])</f>
      </c>
      <c r="J6" s="0">
        <f>SUBTOTAL(109,PolsubTable5[Paid First])</f>
      </c>
      <c r="K6" s="0">
        <f>SUBTOTAL(109,PolsubTable5[Paid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104906-SENIOR CITIZENS</oddHeader>
    <evenHeader>&amp;CMADISON COUNTY 
Alternative Energy Distribution for: 104906-SENIOR CITIZENS</evenHeader>
    <firstHeader>&amp;CMADISON COUNTY 
Alternative Energy Distribution for: 104906-SENIOR CITIZENS</firstHeader>
  </headerFooter>
  <tableParts>
    <tablePart r:id="rId1"/>
  </tableParts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13.488961219787598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34</v>
      </c>
      <c r="C3" s="0" t="s">
        <v>35</v>
      </c>
      <c r="D3" s="2">
        <v>1</v>
      </c>
      <c r="E3" s="2">
        <v>0</v>
      </c>
      <c r="F3" s="2">
        <v>0</v>
      </c>
      <c r="G3" s="2">
        <v>10113.7</v>
      </c>
      <c r="H3" s="2">
        <v>10113.7</v>
      </c>
      <c r="I3" s="2">
        <v>0</v>
      </c>
      <c r="J3" s="2">
        <v>20227.4</v>
      </c>
      <c r="K3" s="2">
        <v>0</v>
      </c>
    </row>
    <row r="4">
      <c r="A4" s="0" t="s">
        <v>17</v>
      </c>
      <c r="B4" s="0" t="s">
        <v>34</v>
      </c>
      <c r="C4" s="0" t="s">
        <v>35</v>
      </c>
      <c r="D4" s="2">
        <v>1</v>
      </c>
      <c r="E4" s="2">
        <v>0</v>
      </c>
      <c r="F4" s="2">
        <v>0</v>
      </c>
      <c r="G4" s="2">
        <v>7281.25</v>
      </c>
      <c r="H4" s="2">
        <v>7281.25</v>
      </c>
      <c r="I4" s="2">
        <v>0</v>
      </c>
      <c r="J4" s="2">
        <v>7406.08</v>
      </c>
      <c r="K4" s="2">
        <v>0</v>
      </c>
    </row>
    <row r="5">
      <c r="A5" s="0" t="s">
        <v>18</v>
      </c>
      <c r="B5" s="0" t="s">
        <v>34</v>
      </c>
      <c r="C5" s="0" t="s">
        <v>35</v>
      </c>
      <c r="D5" s="2">
        <v>1</v>
      </c>
      <c r="E5" s="2">
        <v>0</v>
      </c>
      <c r="F5" s="2">
        <v>0</v>
      </c>
      <c r="G5" s="2">
        <v>11266.09</v>
      </c>
      <c r="H5" s="2">
        <v>11266.09</v>
      </c>
      <c r="I5" s="2">
        <v>0</v>
      </c>
      <c r="J5" s="2">
        <v>22532.18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SUBTOTAL(109,PolsubTable6[Interest])</f>
      </c>
      <c r="F6" s="0">
        <f>SUBTOTAL(109,PolsubTable6[Delinquent])</f>
      </c>
      <c r="G6" s="0">
        <f>SUBTOTAL(109,PolsubTable6[First Half])</f>
      </c>
      <c r="H6" s="0">
        <f>SUBTOTAL(109,PolsubTable6[Second Half])</f>
      </c>
      <c r="I6" s="0">
        <f>SUBTOTAL(109,PolsubTable6[Penalty])</f>
      </c>
      <c r="J6" s="0">
        <f>SUBTOTAL(109,PolsubTable6[Paid First])</f>
      </c>
      <c r="K6" s="0">
        <f>SUBTOTAL(109,PolsubTable6[Paid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104905-9-1-1</oddHeader>
    <evenHeader>&amp;CMADISON COUNTY 
Alternative Energy Distribution for: 104905-9-1-1</evenHeader>
    <firstHeader>&amp;CMADISON COUNTY 
Alternative Energy Distribution for: 104905-9-1-1</firstHeader>
  </headerFooter>
  <tableParts>
    <tablePart r:id="rId1"/>
  </tableParts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18.05899429321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21</v>
      </c>
      <c r="C3" s="0" t="s">
        <v>36</v>
      </c>
      <c r="D3" s="2">
        <v>1.8</v>
      </c>
      <c r="E3" s="2">
        <v>0</v>
      </c>
      <c r="F3" s="2">
        <v>0</v>
      </c>
      <c r="G3" s="2">
        <v>18204.66</v>
      </c>
      <c r="H3" s="2">
        <v>18204.66</v>
      </c>
      <c r="I3" s="2">
        <v>0</v>
      </c>
      <c r="J3" s="2">
        <v>36409.32</v>
      </c>
      <c r="K3" s="2">
        <v>0</v>
      </c>
    </row>
    <row r="4">
      <c r="A4" s="0" t="s">
        <v>17</v>
      </c>
      <c r="B4" s="0" t="s">
        <v>21</v>
      </c>
      <c r="C4" s="0" t="s">
        <v>36</v>
      </c>
      <c r="D4" s="2">
        <v>1.8</v>
      </c>
      <c r="E4" s="2">
        <v>0</v>
      </c>
      <c r="F4" s="2">
        <v>0</v>
      </c>
      <c r="G4" s="2">
        <v>13106.24</v>
      </c>
      <c r="H4" s="2">
        <v>13106.24</v>
      </c>
      <c r="I4" s="2">
        <v>0</v>
      </c>
      <c r="J4" s="2">
        <v>13330.93</v>
      </c>
      <c r="K4" s="2">
        <v>0</v>
      </c>
    </row>
    <row r="5">
      <c r="A5" s="0" t="s">
        <v>18</v>
      </c>
      <c r="B5" s="0" t="s">
        <v>21</v>
      </c>
      <c r="C5" s="0" t="s">
        <v>36</v>
      </c>
      <c r="D5" s="2">
        <v>1.8</v>
      </c>
      <c r="E5" s="2">
        <v>0</v>
      </c>
      <c r="F5" s="2">
        <v>0</v>
      </c>
      <c r="G5" s="2">
        <v>20278.97</v>
      </c>
      <c r="H5" s="2">
        <v>20278.97</v>
      </c>
      <c r="I5" s="2">
        <v>0</v>
      </c>
      <c r="J5" s="2">
        <v>40557.94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SUBTOTAL(109,PolsubTable7[Interest])</f>
      </c>
      <c r="F6" s="0">
        <f>SUBTOTAL(109,PolsubTable7[Delinquent])</f>
      </c>
      <c r="G6" s="0">
        <f>SUBTOTAL(109,PolsubTable7[First Half])</f>
      </c>
      <c r="H6" s="0">
        <f>SUBTOTAL(109,PolsubTable7[Second Half])</f>
      </c>
      <c r="I6" s="0">
        <f>SUBTOTAL(109,PolsubTable7[Penalty])</f>
      </c>
      <c r="J6" s="0">
        <f>SUBTOTAL(109,PolsubTable7[Paid First])</f>
      </c>
      <c r="K6" s="0">
        <f>SUBTOTAL(109,PolsubTable7[Paid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30070-TOLLES CAREER &amp; TECHNICAL</oddHeader>
    <evenHeader>&amp;CMADISON COUNTY 
Alternative Energy Distribution for: 30070-TOLLES CAREER &amp; TECHNICAL</evenHeader>
    <firstHeader>&amp;CMADISON COUNTY 
Alternative Energy Distribution for: 30070-TOLLES CAREER &amp; TECHNICAL</firstHeader>
  </headerFooter>
  <tableParts>
    <tablePart r:id="rId1"/>
  </tableParts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6"/>
  <sheetViews>
    <sheetView workbookViewId="0"/>
  </sheetViews>
  <sheetFormatPr defaultRowHeight="15"/>
  <cols>
    <col min="1" max="1" width="24.33140754699707" customWidth="1"/>
    <col min="2" max="2" width="11.995565414428711" customWidth="1"/>
    <col min="3" max="3" width="18.05899429321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37</v>
      </c>
      <c r="C3" s="0" t="s">
        <v>36</v>
      </c>
      <c r="D3" s="2">
        <v>3</v>
      </c>
      <c r="E3" s="2">
        <v>0</v>
      </c>
      <c r="F3" s="2">
        <v>0</v>
      </c>
      <c r="G3" s="2">
        <v>3058.25</v>
      </c>
      <c r="H3" s="2">
        <v>3058.25</v>
      </c>
      <c r="I3" s="2">
        <v>0</v>
      </c>
      <c r="J3" s="2">
        <v>6116.5</v>
      </c>
      <c r="K3" s="2">
        <v>0</v>
      </c>
    </row>
    <row r="4">
      <c r="A4" s="0" t="s">
        <v>14</v>
      </c>
      <c r="B4" s="0" t="s">
        <v>38</v>
      </c>
      <c r="C4" s="0" t="s">
        <v>36</v>
      </c>
      <c r="D4" s="2">
        <v>1.75</v>
      </c>
      <c r="E4" s="2">
        <v>0</v>
      </c>
      <c r="F4" s="2">
        <v>0</v>
      </c>
      <c r="G4" s="2">
        <v>1783.98</v>
      </c>
      <c r="H4" s="2">
        <v>1783.98</v>
      </c>
      <c r="I4" s="2">
        <v>0</v>
      </c>
      <c r="J4" s="2">
        <v>3567.96</v>
      </c>
      <c r="K4" s="2">
        <v>0</v>
      </c>
    </row>
    <row r="5">
      <c r="A5" s="0" t="s">
        <v>17</v>
      </c>
      <c r="B5" s="0" t="s">
        <v>37</v>
      </c>
      <c r="C5" s="0" t="s">
        <v>36</v>
      </c>
      <c r="D5" s="2">
        <v>3</v>
      </c>
      <c r="E5" s="2">
        <v>0</v>
      </c>
      <c r="F5" s="2">
        <v>0</v>
      </c>
      <c r="G5" s="2">
        <v>21770.39</v>
      </c>
      <c r="H5" s="2">
        <v>21770.39</v>
      </c>
      <c r="I5" s="2">
        <v>0</v>
      </c>
      <c r="J5" s="2">
        <v>22144.87</v>
      </c>
      <c r="K5" s="2">
        <v>0</v>
      </c>
    </row>
    <row r="6">
      <c r="A6" s="0" t="s">
        <v>17</v>
      </c>
      <c r="B6" s="0" t="s">
        <v>38</v>
      </c>
      <c r="C6" s="0" t="s">
        <v>36</v>
      </c>
      <c r="D6" s="2">
        <v>1.75</v>
      </c>
      <c r="E6" s="2">
        <v>0</v>
      </c>
      <c r="F6" s="2">
        <v>0</v>
      </c>
      <c r="G6" s="2">
        <v>12699.39</v>
      </c>
      <c r="H6" s="2">
        <v>12699.39</v>
      </c>
      <c r="I6" s="2">
        <v>0</v>
      </c>
      <c r="J6" s="2">
        <v>12917.84</v>
      </c>
      <c r="K6" s="2">
        <v>0</v>
      </c>
    </row>
    <row r="7">
      <c r="A7" s="0" t="s">
        <v>15</v>
      </c>
      <c r="B7" s="0" t="s">
        <v>15</v>
      </c>
      <c r="C7" s="0" t="s">
        <v>15</v>
      </c>
      <c r="D7" s="0" t="s">
        <v>19</v>
      </c>
      <c r="E7" s="0">
        <f>SUBTOTAL(109,PolsubTable8[Interest])</f>
      </c>
      <c r="F7" s="0">
        <f>SUBTOTAL(109,PolsubTable8[Delinquent])</f>
      </c>
      <c r="G7" s="0">
        <f>SUBTOTAL(109,PolsubTable8[First Half])</f>
      </c>
      <c r="H7" s="0">
        <f>SUBTOTAL(109,PolsubTable8[Second Half])</f>
      </c>
      <c r="I7" s="0">
        <f>SUBTOTAL(109,PolsubTable8[Penalty])</f>
      </c>
      <c r="J7" s="0">
        <f>SUBTOTAL(109,PolsubTable8[Paid First])</f>
      </c>
      <c r="K7" s="0">
        <f>SUBTOTAL(109,PolsubTable8[Paid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60440-MADISON CO. EMERGENCY MED</oddHeader>
    <evenHeader>&amp;CMADISON COUNTY 
Alternative Energy Distribution for: 60440-MADISON CO. EMERGENCY MED</evenHeader>
    <firstHeader>&amp;CMADISON COUNTY 
Alternative Energy Distribution for: 60440-MADISON CO. EMERGENCY MED</firstHeader>
  </headerFooter>
  <tableParts>
    <tablePart r:id="rId1"/>
  </tableParts>
</worksheet>
</file>